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M:\PVA Network\Third Party Purchasers\"/>
    </mc:Choice>
  </mc:AlternateContent>
  <bookViews>
    <workbookView xWindow="120" yWindow="15" windowWidth="17490" windowHeight="8190" activeTab="6"/>
  </bookViews>
  <sheets>
    <sheet name="2009" sheetId="1" r:id="rId1"/>
    <sheet name="2010" sheetId="2" r:id="rId2"/>
    <sheet name="2011" sheetId="3" r:id="rId3"/>
    <sheet name="2012" sheetId="4" r:id="rId4"/>
    <sheet name="2013" sheetId="5" r:id="rId5"/>
    <sheet name="2014" sheetId="6" r:id="rId6"/>
    <sheet name="2015" sheetId="8" r:id="rId7"/>
  </sheets>
  <definedNames>
    <definedName name="_xlnm.Print_Area" localSheetId="0">'2009'!$A$1:$T$138</definedName>
    <definedName name="_xlnm.Print_Area" localSheetId="1">'2010'!$A$1:$T$134</definedName>
    <definedName name="_xlnm.Print_Area" localSheetId="2">'2011'!$A$1:$T$134</definedName>
    <definedName name="_xlnm.Print_Area" localSheetId="4">'2013'!$A$1:$Q$136</definedName>
    <definedName name="_xlnm.Print_Titles" localSheetId="0">'2009'!$3:$4</definedName>
    <definedName name="_xlnm.Print_Titles" localSheetId="1">'2010'!$3:$3</definedName>
    <definedName name="_xlnm.Print_Titles" localSheetId="2">'2011'!$3:$3</definedName>
    <definedName name="_xlnm.Print_Titles" localSheetId="4">'2013'!$3:$3</definedName>
  </definedNames>
  <calcPr calcId="162913"/>
</workbook>
</file>

<file path=xl/calcChain.xml><?xml version="1.0" encoding="utf-8"?>
<calcChain xmlns="http://schemas.openxmlformats.org/spreadsheetml/2006/main">
  <c r="P100" i="8" l="1"/>
  <c r="P83" i="8"/>
  <c r="D39" i="8"/>
  <c r="O39" i="8"/>
  <c r="P39" i="8"/>
  <c r="N39" i="8"/>
  <c r="K39" i="8"/>
  <c r="P64" i="8"/>
  <c r="K64" i="8"/>
  <c r="D13" i="8"/>
  <c r="K13" i="8"/>
  <c r="J13" i="8"/>
  <c r="H13" i="8"/>
  <c r="G13" i="8"/>
  <c r="F13" i="8"/>
  <c r="C13" i="8"/>
  <c r="E13" i="8"/>
  <c r="P16" i="8"/>
  <c r="P113" i="8"/>
  <c r="P57" i="8"/>
  <c r="O57" i="8"/>
  <c r="N57" i="8"/>
  <c r="H57" i="8"/>
  <c r="G57" i="8"/>
  <c r="E57" i="8"/>
  <c r="D57" i="8"/>
  <c r="C57" i="8"/>
  <c r="K57" i="8"/>
  <c r="P89" i="8"/>
  <c r="P44" i="8"/>
  <c r="K44" i="8"/>
  <c r="N20" i="8"/>
  <c r="D20" i="8"/>
  <c r="L20" i="8"/>
  <c r="P53" i="8"/>
  <c r="K53" i="8"/>
  <c r="P61" i="8"/>
  <c r="K61" i="8"/>
  <c r="P101" i="8"/>
  <c r="N101" i="8"/>
  <c r="N112" i="8"/>
  <c r="P112" i="8"/>
  <c r="P34" i="8"/>
  <c r="L34" i="8"/>
  <c r="O34" i="8"/>
  <c r="N34" i="8"/>
  <c r="N105" i="8"/>
  <c r="O105" i="8"/>
  <c r="P105" i="8"/>
  <c r="C106" i="8"/>
  <c r="D12" i="8"/>
  <c r="K62" i="8"/>
  <c r="E62" i="8"/>
  <c r="D62" i="8"/>
  <c r="P118" i="8"/>
  <c r="K118" i="8"/>
  <c r="N115" i="8"/>
  <c r="P115" i="8"/>
  <c r="O115" i="8"/>
  <c r="H115" i="8"/>
  <c r="G115" i="8"/>
  <c r="F115" i="8"/>
  <c r="E115" i="8"/>
  <c r="D115" i="8"/>
  <c r="C115" i="8"/>
  <c r="N106" i="8"/>
  <c r="P106" i="8"/>
  <c r="O106" i="8"/>
  <c r="G106" i="8"/>
  <c r="F106" i="8"/>
  <c r="E106" i="8"/>
  <c r="D106" i="8"/>
  <c r="L79" i="8"/>
  <c r="J79" i="8"/>
  <c r="H79" i="8"/>
  <c r="G79" i="8"/>
  <c r="F79" i="8"/>
  <c r="P5" i="8"/>
  <c r="O5" i="8"/>
  <c r="N5" i="8"/>
  <c r="D5" i="8"/>
  <c r="K5" i="8"/>
  <c r="J5" i="8"/>
  <c r="I5" i="8"/>
  <c r="H5" i="8"/>
  <c r="G5" i="8"/>
  <c r="F5" i="8"/>
  <c r="C5" i="8"/>
  <c r="E5" i="8"/>
  <c r="P91" i="8"/>
  <c r="O91" i="8"/>
  <c r="N91" i="8"/>
  <c r="P79" i="8"/>
  <c r="P94" i="8"/>
  <c r="K76" i="8"/>
  <c r="G76" i="8"/>
  <c r="P27" i="8"/>
  <c r="O27" i="8"/>
  <c r="N27" i="8"/>
  <c r="K27" i="8"/>
  <c r="M27" i="8"/>
  <c r="Q27" i="8"/>
  <c r="L27" i="8"/>
  <c r="P111" i="8"/>
  <c r="K111" i="8"/>
  <c r="P71" i="8"/>
  <c r="O71" i="8"/>
  <c r="N71" i="8"/>
  <c r="K71" i="8"/>
  <c r="K50" i="8"/>
  <c r="K51" i="8"/>
  <c r="P50" i="8"/>
  <c r="N50" i="8"/>
  <c r="N51" i="8"/>
  <c r="P51" i="8"/>
  <c r="E50" i="8"/>
  <c r="P68" i="8"/>
  <c r="P32" i="8"/>
  <c r="L8" i="8"/>
  <c r="E8" i="8"/>
  <c r="O59" i="8"/>
  <c r="P60" i="8"/>
  <c r="D59" i="8"/>
  <c r="P59" i="8"/>
  <c r="N59" i="8"/>
  <c r="P67" i="8"/>
  <c r="K67" i="8"/>
  <c r="P49" i="8"/>
  <c r="P98" i="8"/>
  <c r="L18" i="8"/>
  <c r="P18" i="8"/>
  <c r="K18" i="8"/>
  <c r="P121" i="8"/>
  <c r="D104" i="8"/>
  <c r="I104" i="8"/>
  <c r="H104" i="8"/>
  <c r="G104" i="8"/>
  <c r="F104" i="8"/>
  <c r="E104" i="8"/>
  <c r="C104" i="8"/>
  <c r="I66" i="8"/>
  <c r="H66" i="8"/>
  <c r="G66" i="8"/>
  <c r="C66" i="8"/>
  <c r="D66" i="8"/>
  <c r="E66" i="8"/>
  <c r="K66" i="8"/>
  <c r="F66" i="8"/>
  <c r="P66" i="8"/>
  <c r="N66" i="8"/>
  <c r="D51" i="8"/>
  <c r="E51" i="8"/>
  <c r="L51" i="8"/>
  <c r="I51" i="8"/>
  <c r="H51" i="8"/>
  <c r="G51" i="8"/>
  <c r="F51" i="8"/>
  <c r="C51" i="8"/>
  <c r="P88" i="8"/>
  <c r="P25" i="8"/>
  <c r="D25" i="8"/>
  <c r="K25" i="8"/>
  <c r="J25" i="8"/>
  <c r="H25" i="8"/>
  <c r="G25" i="8"/>
  <c r="E25" i="8"/>
  <c r="C25" i="8"/>
  <c r="O25" i="8"/>
  <c r="N25" i="8"/>
  <c r="D103" i="8"/>
  <c r="E103" i="8"/>
  <c r="P95" i="8"/>
  <c r="K117" i="8"/>
  <c r="P117" i="8"/>
  <c r="P54" i="8"/>
  <c r="O54" i="8"/>
  <c r="D54" i="8"/>
  <c r="N54" i="8"/>
  <c r="H54" i="8"/>
  <c r="F54" i="8"/>
  <c r="G54" i="8"/>
  <c r="E54" i="8"/>
  <c r="C54" i="8"/>
  <c r="B54" i="8"/>
  <c r="P47" i="8"/>
  <c r="K36" i="8"/>
  <c r="J36" i="8"/>
  <c r="D36" i="8"/>
  <c r="L36" i="8"/>
  <c r="I36" i="8"/>
  <c r="H36" i="8"/>
  <c r="G36" i="8"/>
  <c r="F36" i="8"/>
  <c r="E36" i="8"/>
  <c r="C36" i="8"/>
  <c r="C37" i="8"/>
  <c r="O11" i="8"/>
  <c r="P11" i="8"/>
  <c r="N11" i="8"/>
  <c r="E11" i="8"/>
  <c r="L69" i="8"/>
  <c r="P69" i="8"/>
  <c r="K60" i="8"/>
  <c r="K86" i="8"/>
  <c r="P86" i="8"/>
  <c r="F15" i="8"/>
  <c r="G15" i="8"/>
  <c r="H15" i="8"/>
  <c r="D15" i="8"/>
  <c r="J15" i="8"/>
  <c r="I15" i="8"/>
  <c r="E15" i="8"/>
  <c r="C15" i="8"/>
  <c r="P10" i="8"/>
  <c r="D46" i="8"/>
  <c r="N46" i="8"/>
  <c r="O46" i="8"/>
  <c r="P46" i="8"/>
  <c r="K46" i="8"/>
  <c r="G46" i="8"/>
  <c r="P21" i="8"/>
  <c r="N21" i="8"/>
  <c r="K21" i="8"/>
  <c r="P33" i="8"/>
  <c r="D80" i="8"/>
  <c r="O80" i="8"/>
  <c r="P80" i="8"/>
  <c r="N80" i="8"/>
  <c r="O19" i="8"/>
  <c r="K19" i="8"/>
  <c r="P19" i="8"/>
  <c r="N19" i="8"/>
  <c r="K48" i="8"/>
  <c r="P82" i="8"/>
  <c r="O82" i="8"/>
  <c r="N82" i="8"/>
  <c r="L82" i="8"/>
  <c r="L37" i="8"/>
  <c r="L38" i="8"/>
  <c r="I37" i="8"/>
  <c r="H37" i="8"/>
  <c r="G37" i="8"/>
  <c r="E37" i="8"/>
  <c r="D37" i="8"/>
  <c r="O58" i="8"/>
  <c r="K17" i="8"/>
  <c r="L84" i="8"/>
  <c r="P24" i="8"/>
  <c r="N75" i="8"/>
  <c r="O72" i="8"/>
  <c r="P72" i="8"/>
  <c r="K73" i="8"/>
  <c r="P73" i="8"/>
  <c r="D38" i="8"/>
  <c r="K38" i="8"/>
  <c r="J38" i="8"/>
  <c r="I38" i="8"/>
  <c r="H38" i="8"/>
  <c r="G38" i="8"/>
  <c r="F38" i="8"/>
  <c r="E38" i="8"/>
  <c r="C38" i="8"/>
  <c r="D122" i="8"/>
  <c r="K122" i="8"/>
  <c r="I122" i="8"/>
  <c r="H122" i="8"/>
  <c r="G122" i="8"/>
  <c r="F122" i="8"/>
  <c r="E122" i="8"/>
  <c r="C122" i="8"/>
  <c r="K70" i="8"/>
  <c r="I70" i="8"/>
  <c r="H70" i="8"/>
  <c r="G70" i="8"/>
  <c r="F70" i="8"/>
  <c r="E70" i="8"/>
  <c r="D70" i="8"/>
  <c r="C70" i="8"/>
  <c r="L41" i="8"/>
  <c r="I41" i="8"/>
  <c r="H41" i="8"/>
  <c r="G41" i="8"/>
  <c r="F41" i="8"/>
  <c r="E41" i="8"/>
  <c r="D41" i="8"/>
  <c r="C41" i="8"/>
  <c r="O41" i="8"/>
  <c r="O42" i="8"/>
  <c r="P41" i="8"/>
  <c r="N41" i="8"/>
  <c r="P122" i="8"/>
  <c r="N122" i="8"/>
  <c r="O122" i="8"/>
  <c r="L92" i="8"/>
  <c r="P92" i="8"/>
  <c r="K85" i="8"/>
  <c r="P85" i="8"/>
  <c r="P78" i="8"/>
  <c r="P22" i="8"/>
  <c r="P48" i="8"/>
  <c r="P28" i="8"/>
  <c r="K90" i="8"/>
  <c r="P90" i="8"/>
  <c r="N72" i="8"/>
  <c r="K72" i="8"/>
  <c r="P40" i="8"/>
  <c r="K24" i="8"/>
  <c r="L96" i="8"/>
  <c r="P96" i="8"/>
  <c r="P114" i="8"/>
  <c r="K114" i="8"/>
  <c r="L45" i="8"/>
  <c r="B115" i="8"/>
  <c r="L109" i="8"/>
  <c r="K109" i="8"/>
  <c r="P109" i="8"/>
  <c r="P74" i="8"/>
  <c r="E74" i="8"/>
  <c r="E17" i="8"/>
  <c r="K43" i="8"/>
  <c r="L43" i="8"/>
  <c r="P56" i="8"/>
  <c r="L56" i="8"/>
  <c r="P58" i="8"/>
  <c r="N58" i="8"/>
  <c r="O93" i="8"/>
  <c r="P93" i="8"/>
  <c r="N93" i="8"/>
  <c r="K93" i="8"/>
  <c r="P97" i="8"/>
  <c r="O97" i="8"/>
  <c r="N97" i="8"/>
  <c r="B97" i="8"/>
  <c r="K97" i="8"/>
  <c r="I97" i="8"/>
  <c r="I124" i="8"/>
  <c r="F97" i="8"/>
  <c r="G97" i="8"/>
  <c r="H97" i="8"/>
  <c r="E97" i="8"/>
  <c r="D97" i="8"/>
  <c r="C97" i="8"/>
  <c r="C124" i="8"/>
  <c r="P99" i="8"/>
  <c r="E99" i="8"/>
  <c r="N99" i="8"/>
  <c r="G99" i="8"/>
  <c r="P55" i="8"/>
  <c r="P31" i="8"/>
  <c r="N31" i="8"/>
  <c r="L107" i="8"/>
  <c r="P107" i="8"/>
  <c r="N107" i="8"/>
  <c r="N124" i="8"/>
  <c r="P45" i="8"/>
  <c r="L124" i="8"/>
  <c r="K45" i="8"/>
  <c r="P124" i="8"/>
  <c r="L42" i="8"/>
  <c r="K42" i="8"/>
  <c r="O124" i="8"/>
  <c r="J124" i="8"/>
  <c r="H124" i="8"/>
  <c r="G124" i="8"/>
  <c r="F124" i="8"/>
  <c r="E124" i="8"/>
  <c r="D124" i="8"/>
  <c r="B124" i="8"/>
  <c r="M123" i="8"/>
  <c r="Q123" i="8"/>
  <c r="M122" i="8"/>
  <c r="Q122" i="8"/>
  <c r="M121" i="8"/>
  <c r="Q121" i="8"/>
  <c r="M120" i="8"/>
  <c r="Q120" i="8"/>
  <c r="M119" i="8"/>
  <c r="Q119" i="8"/>
  <c r="M118" i="8"/>
  <c r="Q118" i="8"/>
  <c r="M117" i="8"/>
  <c r="Q117" i="8"/>
  <c r="M116" i="8"/>
  <c r="Q116" i="8"/>
  <c r="M114" i="8"/>
  <c r="Q114" i="8"/>
  <c r="M113" i="8"/>
  <c r="Q113" i="8"/>
  <c r="M112" i="8"/>
  <c r="Q112" i="8"/>
  <c r="M111" i="8"/>
  <c r="Q111" i="8"/>
  <c r="M110" i="8"/>
  <c r="Q110" i="8"/>
  <c r="M108" i="8"/>
  <c r="Q108" i="8"/>
  <c r="M107" i="8"/>
  <c r="Q107" i="8"/>
  <c r="M106" i="8"/>
  <c r="Q106" i="8"/>
  <c r="M105" i="8"/>
  <c r="Q105" i="8"/>
  <c r="M104" i="8"/>
  <c r="Q104" i="8"/>
  <c r="M103" i="8"/>
  <c r="Q103" i="8"/>
  <c r="M102" i="8"/>
  <c r="Q102" i="8"/>
  <c r="M101" i="8"/>
  <c r="Q101" i="8"/>
  <c r="M100" i="8"/>
  <c r="Q100" i="8"/>
  <c r="M99" i="8"/>
  <c r="M98" i="8"/>
  <c r="Q98" i="8"/>
  <c r="M96" i="8"/>
  <c r="Q96" i="8"/>
  <c r="M95" i="8"/>
  <c r="Q95" i="8"/>
  <c r="M94" i="8"/>
  <c r="Q94" i="8"/>
  <c r="M93" i="8"/>
  <c r="Q93" i="8"/>
  <c r="M92" i="8"/>
  <c r="Q92" i="8"/>
  <c r="M91" i="8"/>
  <c r="Q91" i="8"/>
  <c r="M90" i="8"/>
  <c r="Q90" i="8"/>
  <c r="M89" i="8"/>
  <c r="Q89" i="8"/>
  <c r="M88" i="8"/>
  <c r="Q88" i="8"/>
  <c r="M87" i="8"/>
  <c r="Q87" i="8"/>
  <c r="M86" i="8"/>
  <c r="Q86" i="8"/>
  <c r="M85" i="8"/>
  <c r="Q85" i="8"/>
  <c r="M84" i="8"/>
  <c r="Q84" i="8"/>
  <c r="M83" i="8"/>
  <c r="Q83" i="8"/>
  <c r="M82" i="8"/>
  <c r="Q82" i="8"/>
  <c r="M81" i="8"/>
  <c r="Q81" i="8"/>
  <c r="M80" i="8"/>
  <c r="Q80" i="8"/>
  <c r="M79" i="8"/>
  <c r="Q79" i="8"/>
  <c r="M78" i="8"/>
  <c r="Q78" i="8"/>
  <c r="M77" i="8"/>
  <c r="Q77" i="8"/>
  <c r="M76" i="8"/>
  <c r="Q76" i="8"/>
  <c r="M75" i="8"/>
  <c r="Q75" i="8"/>
  <c r="M74" i="8"/>
  <c r="Q74" i="8"/>
  <c r="M73" i="8"/>
  <c r="Q73" i="8"/>
  <c r="M72" i="8"/>
  <c r="Q72" i="8"/>
  <c r="M71" i="8"/>
  <c r="Q71" i="8"/>
  <c r="M70" i="8"/>
  <c r="Q70" i="8"/>
  <c r="M69" i="8"/>
  <c r="Q69" i="8"/>
  <c r="M67" i="8"/>
  <c r="Q67" i="8"/>
  <c r="M66" i="8"/>
  <c r="Q66" i="8"/>
  <c r="M65" i="8"/>
  <c r="Q65" i="8"/>
  <c r="M64" i="8"/>
  <c r="Q64" i="8"/>
  <c r="M63" i="8"/>
  <c r="Q63" i="8"/>
  <c r="M62" i="8"/>
  <c r="Q62" i="8"/>
  <c r="M61" i="8"/>
  <c r="Q61" i="8"/>
  <c r="M60" i="8"/>
  <c r="Q60" i="8"/>
  <c r="M59" i="8"/>
  <c r="Q59" i="8"/>
  <c r="M58" i="8"/>
  <c r="M57" i="8"/>
  <c r="Q57" i="8"/>
  <c r="M56" i="8"/>
  <c r="Q56" i="8"/>
  <c r="M55" i="8"/>
  <c r="Q55" i="8"/>
  <c r="M54" i="8"/>
  <c r="Q54" i="8"/>
  <c r="M53" i="8"/>
  <c r="Q53" i="8"/>
  <c r="M52" i="8"/>
  <c r="Q52" i="8"/>
  <c r="M51" i="8"/>
  <c r="Q51" i="8"/>
  <c r="M50" i="8"/>
  <c r="Q50" i="8"/>
  <c r="M49" i="8"/>
  <c r="Q49" i="8"/>
  <c r="M48" i="8"/>
  <c r="Q48" i="8"/>
  <c r="M47" i="8"/>
  <c r="Q47" i="8"/>
  <c r="M46" i="8"/>
  <c r="Q46" i="8"/>
  <c r="M44" i="8"/>
  <c r="Q44" i="8"/>
  <c r="M43" i="8"/>
  <c r="Q43" i="8"/>
  <c r="M42" i="8"/>
  <c r="Q42" i="8"/>
  <c r="M41" i="8"/>
  <c r="Q41" i="8"/>
  <c r="M40" i="8"/>
  <c r="Q40" i="8"/>
  <c r="M39" i="8"/>
  <c r="Q39" i="8"/>
  <c r="M38" i="8"/>
  <c r="Q38" i="8"/>
  <c r="M37" i="8"/>
  <c r="Q37" i="8"/>
  <c r="M36" i="8"/>
  <c r="Q36" i="8"/>
  <c r="Q35" i="8"/>
  <c r="M34" i="8"/>
  <c r="Q34" i="8"/>
  <c r="M33" i="8"/>
  <c r="Q33" i="8"/>
  <c r="M32" i="8"/>
  <c r="Q32" i="8"/>
  <c r="M31" i="8"/>
  <c r="Q31" i="8"/>
  <c r="M30" i="8"/>
  <c r="Q30" i="8"/>
  <c r="M29" i="8"/>
  <c r="Q29" i="8"/>
  <c r="M28" i="8"/>
  <c r="Q28" i="8"/>
  <c r="M68" i="8"/>
  <c r="Q68" i="8"/>
  <c r="M26" i="8"/>
  <c r="Q26" i="8"/>
  <c r="M25" i="8"/>
  <c r="Q25" i="8"/>
  <c r="M24" i="8"/>
  <c r="Q24" i="8"/>
  <c r="M23" i="8"/>
  <c r="Q23" i="8"/>
  <c r="M22" i="8"/>
  <c r="Q22" i="8"/>
  <c r="M21" i="8"/>
  <c r="Q21" i="8"/>
  <c r="M20" i="8"/>
  <c r="Q20" i="8"/>
  <c r="M19" i="8"/>
  <c r="Q19" i="8"/>
  <c r="M18" i="8"/>
  <c r="Q18" i="8"/>
  <c r="M17" i="8"/>
  <c r="Q17" i="8"/>
  <c r="M16" i="8"/>
  <c r="Q16" i="8"/>
  <c r="M15" i="8"/>
  <c r="Q15" i="8"/>
  <c r="M14" i="8"/>
  <c r="Q14" i="8"/>
  <c r="M13" i="8"/>
  <c r="Q13" i="8"/>
  <c r="M12" i="8"/>
  <c r="Q12" i="8"/>
  <c r="M11" i="8"/>
  <c r="Q11" i="8"/>
  <c r="M10" i="8"/>
  <c r="Q10" i="8"/>
  <c r="M9" i="8"/>
  <c r="Q9" i="8"/>
  <c r="M8" i="8"/>
  <c r="Q8" i="8"/>
  <c r="M7" i="8"/>
  <c r="Q7" i="8"/>
  <c r="M6" i="8"/>
  <c r="Q6" i="8"/>
  <c r="M5" i="8"/>
  <c r="Q5" i="8"/>
  <c r="M4" i="8"/>
  <c r="Q4" i="8"/>
  <c r="M123" i="6"/>
  <c r="Q123" i="6"/>
  <c r="M122" i="6"/>
  <c r="Q122" i="6"/>
  <c r="M121" i="6"/>
  <c r="Q121" i="6"/>
  <c r="M120" i="6"/>
  <c r="Q120" i="6"/>
  <c r="M119" i="6"/>
  <c r="Q119" i="6"/>
  <c r="M118" i="6"/>
  <c r="Q118" i="6"/>
  <c r="M117" i="6"/>
  <c r="Q117" i="6"/>
  <c r="M116" i="6"/>
  <c r="Q116" i="6"/>
  <c r="M115" i="6"/>
  <c r="Q115" i="6"/>
  <c r="M114" i="6"/>
  <c r="Q114" i="6"/>
  <c r="M113" i="6"/>
  <c r="Q113" i="6"/>
  <c r="M112" i="6"/>
  <c r="Q112" i="6"/>
  <c r="M111" i="6"/>
  <c r="Q111" i="6"/>
  <c r="M110" i="6"/>
  <c r="Q110" i="6"/>
  <c r="M109" i="6"/>
  <c r="Q109" i="6"/>
  <c r="M108" i="6"/>
  <c r="Q108" i="6"/>
  <c r="M107" i="6"/>
  <c r="Q107" i="6"/>
  <c r="M106" i="6"/>
  <c r="Q106" i="6"/>
  <c r="M105" i="6"/>
  <c r="Q105" i="6"/>
  <c r="M104" i="6"/>
  <c r="Q104" i="6"/>
  <c r="M103" i="6"/>
  <c r="Q103" i="6"/>
  <c r="M102" i="6"/>
  <c r="Q102" i="6"/>
  <c r="M101" i="6"/>
  <c r="Q101" i="6"/>
  <c r="M100" i="6"/>
  <c r="Q100" i="6"/>
  <c r="M99" i="6"/>
  <c r="Q99" i="6"/>
  <c r="M98" i="6"/>
  <c r="Q98" i="6"/>
  <c r="M97" i="6"/>
  <c r="Q97" i="6"/>
  <c r="M96" i="6"/>
  <c r="Q96" i="6"/>
  <c r="M95" i="6"/>
  <c r="Q95" i="6"/>
  <c r="M94" i="6"/>
  <c r="Q94" i="6"/>
  <c r="M93" i="6"/>
  <c r="Q93" i="6"/>
  <c r="M92" i="6"/>
  <c r="Q92" i="6"/>
  <c r="M91" i="6"/>
  <c r="Q91" i="6"/>
  <c r="M90" i="6"/>
  <c r="Q90" i="6"/>
  <c r="M89" i="6"/>
  <c r="Q89" i="6"/>
  <c r="M88" i="6"/>
  <c r="Q88" i="6"/>
  <c r="M87" i="6"/>
  <c r="Q87" i="6"/>
  <c r="M86" i="6"/>
  <c r="Q86" i="6"/>
  <c r="M85" i="6"/>
  <c r="Q85" i="6"/>
  <c r="M84" i="6"/>
  <c r="Q84" i="6"/>
  <c r="M83" i="6"/>
  <c r="Q83" i="6"/>
  <c r="M82" i="6"/>
  <c r="Q82" i="6"/>
  <c r="M81" i="6"/>
  <c r="Q81" i="6"/>
  <c r="M80" i="6"/>
  <c r="Q80" i="6"/>
  <c r="M79" i="6"/>
  <c r="Q79" i="6"/>
  <c r="M78" i="6"/>
  <c r="Q78" i="6"/>
  <c r="M77" i="6"/>
  <c r="Q77" i="6"/>
  <c r="M76" i="6"/>
  <c r="Q76" i="6"/>
  <c r="M75" i="6"/>
  <c r="Q75" i="6"/>
  <c r="M74" i="6"/>
  <c r="Q74" i="6"/>
  <c r="M73" i="6"/>
  <c r="Q73" i="6"/>
  <c r="M72" i="6"/>
  <c r="Q72" i="6"/>
  <c r="M71" i="6"/>
  <c r="Q71" i="6"/>
  <c r="M70" i="6"/>
  <c r="Q70" i="6"/>
  <c r="M69" i="6"/>
  <c r="Q69" i="6"/>
  <c r="M68" i="6"/>
  <c r="Q68" i="6"/>
  <c r="M67" i="6"/>
  <c r="Q67" i="6"/>
  <c r="M66" i="6"/>
  <c r="Q66" i="6"/>
  <c r="M65" i="6"/>
  <c r="Q65" i="6"/>
  <c r="M64" i="6"/>
  <c r="Q64" i="6"/>
  <c r="M63" i="6"/>
  <c r="Q63" i="6"/>
  <c r="M62" i="6"/>
  <c r="Q62" i="6"/>
  <c r="M61" i="6"/>
  <c r="Q61" i="6"/>
  <c r="M60" i="6"/>
  <c r="Q60" i="6"/>
  <c r="M59" i="6"/>
  <c r="Q59" i="6"/>
  <c r="M58" i="6"/>
  <c r="Q58" i="6"/>
  <c r="M57" i="6"/>
  <c r="Q57" i="6"/>
  <c r="M56" i="6"/>
  <c r="Q56" i="6"/>
  <c r="M55" i="6"/>
  <c r="Q55" i="6"/>
  <c r="M54" i="6"/>
  <c r="Q54" i="6"/>
  <c r="M53" i="6"/>
  <c r="Q53" i="6"/>
  <c r="M52" i="6"/>
  <c r="Q52" i="6"/>
  <c r="M51" i="6"/>
  <c r="Q51" i="6"/>
  <c r="M50" i="6"/>
  <c r="Q50" i="6"/>
  <c r="M49" i="6"/>
  <c r="Q49" i="6"/>
  <c r="M48" i="6"/>
  <c r="Q48" i="6"/>
  <c r="M47" i="6"/>
  <c r="Q47" i="6"/>
  <c r="M46" i="6"/>
  <c r="Q46" i="6"/>
  <c r="M45" i="6"/>
  <c r="Q45" i="6"/>
  <c r="M44" i="6"/>
  <c r="Q44" i="6"/>
  <c r="M43" i="6"/>
  <c r="Q43" i="6"/>
  <c r="M42" i="6"/>
  <c r="Q42" i="6"/>
  <c r="M41" i="6"/>
  <c r="Q41" i="6"/>
  <c r="M40" i="6"/>
  <c r="Q40" i="6"/>
  <c r="M39" i="6"/>
  <c r="Q39" i="6"/>
  <c r="M38" i="6"/>
  <c r="Q38" i="6"/>
  <c r="M37" i="6"/>
  <c r="Q37" i="6"/>
  <c r="M36" i="6"/>
  <c r="Q36" i="6"/>
  <c r="M35" i="6"/>
  <c r="Q35" i="6"/>
  <c r="M34" i="6"/>
  <c r="Q34" i="6"/>
  <c r="M33" i="6"/>
  <c r="Q33" i="6"/>
  <c r="M32" i="6"/>
  <c r="Q32" i="6"/>
  <c r="M31" i="6"/>
  <c r="Q31" i="6"/>
  <c r="M30" i="6"/>
  <c r="Q30" i="6"/>
  <c r="M29" i="6"/>
  <c r="Q29" i="6"/>
  <c r="M28" i="6"/>
  <c r="Q28" i="6"/>
  <c r="M27" i="6"/>
  <c r="Q27" i="6"/>
  <c r="M26" i="6"/>
  <c r="Q26" i="6"/>
  <c r="M25" i="6"/>
  <c r="Q25" i="6"/>
  <c r="M24" i="6"/>
  <c r="Q24" i="6"/>
  <c r="M23" i="6"/>
  <c r="Q23" i="6"/>
  <c r="M22" i="6"/>
  <c r="Q22" i="6"/>
  <c r="M21" i="6"/>
  <c r="Q21" i="6"/>
  <c r="M20" i="6"/>
  <c r="Q20" i="6"/>
  <c r="M19" i="6"/>
  <c r="Q19" i="6"/>
  <c r="M18" i="6"/>
  <c r="Q18" i="6"/>
  <c r="M17" i="6"/>
  <c r="Q17" i="6"/>
  <c r="M16" i="6"/>
  <c r="Q16" i="6"/>
  <c r="M15" i="6"/>
  <c r="Q15" i="6"/>
  <c r="M14" i="6"/>
  <c r="Q14" i="6"/>
  <c r="M13" i="6"/>
  <c r="Q13" i="6"/>
  <c r="M12" i="6"/>
  <c r="Q12" i="6"/>
  <c r="M11" i="6"/>
  <c r="Q11" i="6"/>
  <c r="M10" i="6"/>
  <c r="Q10" i="6"/>
  <c r="M9" i="6"/>
  <c r="Q9" i="6"/>
  <c r="M8" i="6"/>
  <c r="Q8" i="6"/>
  <c r="M7" i="6"/>
  <c r="Q7" i="6"/>
  <c r="M6" i="6"/>
  <c r="Q6" i="6"/>
  <c r="M5" i="6"/>
  <c r="Q5" i="6"/>
  <c r="M4" i="6"/>
  <c r="Q4" i="6"/>
  <c r="P124" i="6"/>
  <c r="O124" i="6"/>
  <c r="N124" i="6"/>
  <c r="L124" i="6"/>
  <c r="K124" i="6"/>
  <c r="J124" i="6"/>
  <c r="I124" i="6"/>
  <c r="H124" i="6"/>
  <c r="G124" i="6"/>
  <c r="F124" i="6"/>
  <c r="E124" i="6"/>
  <c r="D124" i="6"/>
  <c r="C124" i="6"/>
  <c r="B124" i="6"/>
  <c r="M12" i="5"/>
  <c r="Q12" i="5"/>
  <c r="P124" i="5"/>
  <c r="O124" i="5"/>
  <c r="N124" i="5"/>
  <c r="J124" i="5"/>
  <c r="I124" i="5"/>
  <c r="H124" i="5"/>
  <c r="G124" i="5"/>
  <c r="F124" i="5"/>
  <c r="E124" i="5"/>
  <c r="D124" i="5"/>
  <c r="C124" i="5"/>
  <c r="B124" i="5"/>
  <c r="M123" i="5"/>
  <c r="Q123" i="5"/>
  <c r="M122" i="5"/>
  <c r="Q122" i="5"/>
  <c r="M121" i="5"/>
  <c r="Q121" i="5"/>
  <c r="M120" i="5"/>
  <c r="Q120" i="5"/>
  <c r="M119" i="5"/>
  <c r="Q119" i="5"/>
  <c r="M118" i="5"/>
  <c r="Q118" i="5"/>
  <c r="M117" i="5"/>
  <c r="Q117" i="5"/>
  <c r="M116" i="5"/>
  <c r="Q116" i="5"/>
  <c r="M115" i="5"/>
  <c r="Q115" i="5"/>
  <c r="M114" i="5"/>
  <c r="Q114" i="5"/>
  <c r="M113" i="5"/>
  <c r="Q113" i="5"/>
  <c r="M112" i="5"/>
  <c r="Q112" i="5"/>
  <c r="M111" i="5"/>
  <c r="Q111" i="5"/>
  <c r="M110" i="5"/>
  <c r="Q110" i="5"/>
  <c r="M109" i="5"/>
  <c r="Q109" i="5"/>
  <c r="M108" i="5"/>
  <c r="Q108" i="5"/>
  <c r="M107" i="5"/>
  <c r="Q107" i="5"/>
  <c r="M106" i="5"/>
  <c r="Q106" i="5"/>
  <c r="M105" i="5"/>
  <c r="Q105" i="5"/>
  <c r="M104" i="5"/>
  <c r="Q104" i="5"/>
  <c r="M103" i="5"/>
  <c r="Q103" i="5"/>
  <c r="M102" i="5"/>
  <c r="Q102" i="5"/>
  <c r="M101" i="5"/>
  <c r="Q101" i="5"/>
  <c r="M100" i="5"/>
  <c r="Q100" i="5"/>
  <c r="M99" i="5"/>
  <c r="Q99" i="5"/>
  <c r="M98" i="5"/>
  <c r="Q98" i="5"/>
  <c r="M97" i="5"/>
  <c r="Q97" i="5"/>
  <c r="M96" i="5"/>
  <c r="Q96" i="5"/>
  <c r="M95" i="5"/>
  <c r="Q95" i="5"/>
  <c r="M94" i="5"/>
  <c r="Q94" i="5"/>
  <c r="M93" i="5"/>
  <c r="Q93" i="5"/>
  <c r="M92" i="5"/>
  <c r="Q92" i="5"/>
  <c r="M91" i="5"/>
  <c r="Q91" i="5"/>
  <c r="M90" i="5"/>
  <c r="Q90" i="5"/>
  <c r="M89" i="5"/>
  <c r="Q89" i="5"/>
  <c r="M88" i="5"/>
  <c r="Q88" i="5"/>
  <c r="M87" i="5"/>
  <c r="Q87" i="5"/>
  <c r="M86" i="5"/>
  <c r="Q86" i="5"/>
  <c r="M85" i="5"/>
  <c r="Q85" i="5"/>
  <c r="M84" i="5"/>
  <c r="Q84" i="5"/>
  <c r="M83" i="5"/>
  <c r="Q83" i="5"/>
  <c r="M82" i="5"/>
  <c r="Q82" i="5"/>
  <c r="M81" i="5"/>
  <c r="Q81" i="5"/>
  <c r="M80" i="5"/>
  <c r="Q80" i="5"/>
  <c r="M79" i="5"/>
  <c r="Q79" i="5"/>
  <c r="M78" i="5"/>
  <c r="Q78" i="5"/>
  <c r="M77" i="5"/>
  <c r="Q77" i="5"/>
  <c r="M76" i="5"/>
  <c r="Q76" i="5"/>
  <c r="M75" i="5"/>
  <c r="Q75" i="5"/>
  <c r="M74" i="5"/>
  <c r="Q74" i="5"/>
  <c r="M73" i="5"/>
  <c r="Q73" i="5"/>
  <c r="M72" i="5"/>
  <c r="Q72" i="5"/>
  <c r="M71" i="5"/>
  <c r="Q71" i="5"/>
  <c r="M70" i="5"/>
  <c r="Q70" i="5"/>
  <c r="M69" i="5"/>
  <c r="Q69" i="5"/>
  <c r="M68" i="5"/>
  <c r="Q68" i="5"/>
  <c r="M67" i="5"/>
  <c r="Q67" i="5"/>
  <c r="M66" i="5"/>
  <c r="Q66" i="5"/>
  <c r="M65" i="5"/>
  <c r="Q65" i="5"/>
  <c r="M64" i="5"/>
  <c r="Q64" i="5"/>
  <c r="M63" i="5"/>
  <c r="Q63" i="5"/>
  <c r="M62" i="5"/>
  <c r="Q62" i="5"/>
  <c r="M61" i="5"/>
  <c r="Q61" i="5"/>
  <c r="M60" i="5"/>
  <c r="Q60" i="5"/>
  <c r="M59" i="5"/>
  <c r="Q59" i="5"/>
  <c r="M58" i="5"/>
  <c r="Q58" i="5"/>
  <c r="M57" i="5"/>
  <c r="Q57" i="5"/>
  <c r="M56" i="5"/>
  <c r="Q56" i="5"/>
  <c r="K124" i="5"/>
  <c r="M55" i="5"/>
  <c r="Q55" i="5"/>
  <c r="M54" i="5"/>
  <c r="Q54" i="5"/>
  <c r="M53" i="5"/>
  <c r="Q53" i="5"/>
  <c r="M52" i="5"/>
  <c r="Q52" i="5"/>
  <c r="M51" i="5"/>
  <c r="Q51" i="5"/>
  <c r="M50" i="5"/>
  <c r="Q50" i="5"/>
  <c r="M49" i="5"/>
  <c r="Q49" i="5"/>
  <c r="M48" i="5"/>
  <c r="Q48" i="5"/>
  <c r="M47" i="5"/>
  <c r="Q47" i="5"/>
  <c r="M46" i="5"/>
  <c r="Q46" i="5"/>
  <c r="M45" i="5"/>
  <c r="Q45" i="5"/>
  <c r="M44" i="5"/>
  <c r="Q44" i="5"/>
  <c r="M43" i="5"/>
  <c r="Q43" i="5"/>
  <c r="M42" i="5"/>
  <c r="Q42" i="5"/>
  <c r="M41" i="5"/>
  <c r="Q41" i="5"/>
  <c r="M40" i="5"/>
  <c r="Q40" i="5"/>
  <c r="M39" i="5"/>
  <c r="Q39" i="5"/>
  <c r="M38" i="5"/>
  <c r="Q38" i="5"/>
  <c r="M37" i="5"/>
  <c r="Q37" i="5"/>
  <c r="M36" i="5"/>
  <c r="Q36" i="5"/>
  <c r="M35" i="5"/>
  <c r="Q35" i="5"/>
  <c r="M34" i="5"/>
  <c r="Q34" i="5"/>
  <c r="M33" i="5"/>
  <c r="Q33" i="5"/>
  <c r="M32" i="5"/>
  <c r="Q32" i="5"/>
  <c r="M31" i="5"/>
  <c r="Q31" i="5"/>
  <c r="M30" i="5"/>
  <c r="Q30" i="5"/>
  <c r="M29" i="5"/>
  <c r="Q29" i="5"/>
  <c r="M28" i="5"/>
  <c r="Q28" i="5"/>
  <c r="M27" i="5"/>
  <c r="Q27" i="5"/>
  <c r="M26" i="5"/>
  <c r="Q26" i="5"/>
  <c r="M25" i="5"/>
  <c r="Q25" i="5"/>
  <c r="M24" i="5"/>
  <c r="Q24" i="5"/>
  <c r="M23" i="5"/>
  <c r="Q23" i="5"/>
  <c r="M22" i="5"/>
  <c r="Q22" i="5"/>
  <c r="M21" i="5"/>
  <c r="Q21" i="5"/>
  <c r="M20" i="5"/>
  <c r="Q20" i="5"/>
  <c r="M19" i="5"/>
  <c r="Q19" i="5"/>
  <c r="M18" i="5"/>
  <c r="Q18" i="5"/>
  <c r="M17" i="5"/>
  <c r="Q17" i="5"/>
  <c r="M16" i="5"/>
  <c r="Q16" i="5"/>
  <c r="M15" i="5"/>
  <c r="Q15" i="5"/>
  <c r="M14" i="5"/>
  <c r="Q14" i="5"/>
  <c r="L124" i="5"/>
  <c r="M13" i="5"/>
  <c r="Q13" i="5"/>
  <c r="M11" i="5"/>
  <c r="Q11" i="5"/>
  <c r="M10" i="5"/>
  <c r="Q10" i="5"/>
  <c r="M9" i="5"/>
  <c r="Q9" i="5"/>
  <c r="M8" i="5"/>
  <c r="Q8" i="5"/>
  <c r="M7" i="5"/>
  <c r="Q7" i="5"/>
  <c r="M6" i="5"/>
  <c r="Q6" i="5"/>
  <c r="M5" i="5"/>
  <c r="Q5" i="5"/>
  <c r="M4" i="5"/>
  <c r="Q4" i="5"/>
  <c r="P124" i="4"/>
  <c r="O124" i="4"/>
  <c r="N124" i="4"/>
  <c r="J124" i="4"/>
  <c r="I124" i="4"/>
  <c r="H124" i="4"/>
  <c r="G124" i="4"/>
  <c r="F124" i="4"/>
  <c r="E124" i="4"/>
  <c r="D124" i="4"/>
  <c r="C124" i="4"/>
  <c r="B124" i="4"/>
  <c r="M123" i="4"/>
  <c r="Q123" i="4"/>
  <c r="M122" i="4"/>
  <c r="Q122" i="4"/>
  <c r="M121" i="4"/>
  <c r="Q121" i="4"/>
  <c r="M120" i="4"/>
  <c r="Q120" i="4"/>
  <c r="M119" i="4"/>
  <c r="Q119" i="4"/>
  <c r="M118" i="4"/>
  <c r="Q118" i="4"/>
  <c r="M117" i="4"/>
  <c r="Q117" i="4"/>
  <c r="M116" i="4"/>
  <c r="Q116" i="4"/>
  <c r="M115" i="4"/>
  <c r="Q115" i="4"/>
  <c r="M114" i="4"/>
  <c r="Q114" i="4"/>
  <c r="M113" i="4"/>
  <c r="Q113" i="4"/>
  <c r="M112" i="4"/>
  <c r="Q112" i="4"/>
  <c r="M111" i="4"/>
  <c r="Q111" i="4"/>
  <c r="M110" i="4"/>
  <c r="Q110" i="4"/>
  <c r="M109" i="4"/>
  <c r="Q109" i="4"/>
  <c r="M108" i="4"/>
  <c r="Q108" i="4"/>
  <c r="M107" i="4"/>
  <c r="Q107" i="4"/>
  <c r="M106" i="4"/>
  <c r="Q106" i="4"/>
  <c r="M105" i="4"/>
  <c r="Q105" i="4"/>
  <c r="M104" i="4"/>
  <c r="Q104" i="4"/>
  <c r="M103" i="4"/>
  <c r="Q103" i="4"/>
  <c r="M102" i="4"/>
  <c r="Q102" i="4"/>
  <c r="M101" i="4"/>
  <c r="Q101" i="4"/>
  <c r="M100" i="4"/>
  <c r="Q100" i="4"/>
  <c r="M99" i="4"/>
  <c r="Q99" i="4"/>
  <c r="M98" i="4"/>
  <c r="Q98" i="4"/>
  <c r="M97" i="4"/>
  <c r="Q97" i="4"/>
  <c r="M96" i="4"/>
  <c r="Q96" i="4"/>
  <c r="M95" i="4"/>
  <c r="Q95" i="4"/>
  <c r="M94" i="4"/>
  <c r="Q94" i="4"/>
  <c r="M93" i="4"/>
  <c r="Q93" i="4"/>
  <c r="M92" i="4"/>
  <c r="Q92" i="4"/>
  <c r="L92" i="4"/>
  <c r="Q91" i="4"/>
  <c r="M91" i="4"/>
  <c r="Q90" i="4"/>
  <c r="M90" i="4"/>
  <c r="Q89" i="4"/>
  <c r="M89" i="4"/>
  <c r="Q88" i="4"/>
  <c r="M88" i="4"/>
  <c r="Q87" i="4"/>
  <c r="M87" i="4"/>
  <c r="Q86" i="4"/>
  <c r="M86" i="4"/>
  <c r="Q85" i="4"/>
  <c r="M85" i="4"/>
  <c r="L84" i="4"/>
  <c r="M84" i="4"/>
  <c r="Q84" i="4"/>
  <c r="M83" i="4"/>
  <c r="Q83" i="4"/>
  <c r="M82" i="4"/>
  <c r="Q82" i="4"/>
  <c r="M81" i="4"/>
  <c r="Q81" i="4"/>
  <c r="M80" i="4"/>
  <c r="Q80" i="4"/>
  <c r="M79" i="4"/>
  <c r="Q79" i="4"/>
  <c r="M78" i="4"/>
  <c r="Q78" i="4"/>
  <c r="M77" i="4"/>
  <c r="Q77" i="4"/>
  <c r="M76" i="4"/>
  <c r="Q76" i="4"/>
  <c r="M75" i="4"/>
  <c r="Q75" i="4"/>
  <c r="M74" i="4"/>
  <c r="Q74" i="4"/>
  <c r="M73" i="4"/>
  <c r="Q73" i="4"/>
  <c r="M72" i="4"/>
  <c r="Q72" i="4"/>
  <c r="M71" i="4"/>
  <c r="Q71" i="4"/>
  <c r="M70" i="4"/>
  <c r="Q70" i="4"/>
  <c r="M69" i="4"/>
  <c r="Q69" i="4"/>
  <c r="M68" i="4"/>
  <c r="Q68" i="4"/>
  <c r="M67" i="4"/>
  <c r="Q67" i="4"/>
  <c r="M66" i="4"/>
  <c r="Q66" i="4"/>
  <c r="M65" i="4"/>
  <c r="Q65" i="4"/>
  <c r="M64" i="4"/>
  <c r="Q64" i="4"/>
  <c r="M63" i="4"/>
  <c r="Q63" i="4"/>
  <c r="M62" i="4"/>
  <c r="Q62" i="4"/>
  <c r="M61" i="4"/>
  <c r="Q61" i="4"/>
  <c r="M60" i="4"/>
  <c r="Q60" i="4"/>
  <c r="M59" i="4"/>
  <c r="Q59" i="4"/>
  <c r="M58" i="4"/>
  <c r="Q58" i="4"/>
  <c r="M57" i="4"/>
  <c r="Q57" i="4"/>
  <c r="M56" i="4"/>
  <c r="Q56" i="4"/>
  <c r="K56" i="4"/>
  <c r="K124" i="4"/>
  <c r="Q55" i="4"/>
  <c r="M55" i="4"/>
  <c r="Q54" i="4"/>
  <c r="M54" i="4"/>
  <c r="Q53" i="4"/>
  <c r="M53" i="4"/>
  <c r="Q52" i="4"/>
  <c r="M52" i="4"/>
  <c r="Q51" i="4"/>
  <c r="M51" i="4"/>
  <c r="L50" i="4"/>
  <c r="M50" i="4"/>
  <c r="Q50" i="4"/>
  <c r="M49" i="4"/>
  <c r="Q49" i="4"/>
  <c r="M48" i="4"/>
  <c r="Q48" i="4"/>
  <c r="M47" i="4"/>
  <c r="Q47" i="4"/>
  <c r="M46" i="4"/>
  <c r="Q46" i="4"/>
  <c r="L46" i="4"/>
  <c r="L45" i="4"/>
  <c r="M45" i="4"/>
  <c r="Q45" i="4"/>
  <c r="M44" i="4"/>
  <c r="Q44" i="4"/>
  <c r="M43" i="4"/>
  <c r="Q43" i="4"/>
  <c r="M42" i="4"/>
  <c r="Q42" i="4"/>
  <c r="M41" i="4"/>
  <c r="Q41" i="4"/>
  <c r="M40" i="4"/>
  <c r="Q40" i="4"/>
  <c r="M39" i="4"/>
  <c r="Q39" i="4"/>
  <c r="M38" i="4"/>
  <c r="Q38" i="4"/>
  <c r="M37" i="4"/>
  <c r="Q37" i="4"/>
  <c r="M36" i="4"/>
  <c r="Q36" i="4"/>
  <c r="M35" i="4"/>
  <c r="Q35" i="4"/>
  <c r="M34" i="4"/>
  <c r="Q34" i="4"/>
  <c r="M33" i="4"/>
  <c r="Q33" i="4"/>
  <c r="M32" i="4"/>
  <c r="Q32" i="4"/>
  <c r="M31" i="4"/>
  <c r="Q31" i="4"/>
  <c r="M30" i="4"/>
  <c r="Q30" i="4"/>
  <c r="M29" i="4"/>
  <c r="Q29" i="4"/>
  <c r="M28" i="4"/>
  <c r="Q28" i="4"/>
  <c r="M27" i="4"/>
  <c r="Q27" i="4"/>
  <c r="M26" i="4"/>
  <c r="Q26" i="4"/>
  <c r="M25" i="4"/>
  <c r="Q25" i="4"/>
  <c r="M24" i="4"/>
  <c r="Q24" i="4"/>
  <c r="M23" i="4"/>
  <c r="Q23" i="4"/>
  <c r="M22" i="4"/>
  <c r="Q22" i="4"/>
  <c r="M21" i="4"/>
  <c r="Q21" i="4"/>
  <c r="L20" i="4"/>
  <c r="M20" i="4"/>
  <c r="Q20" i="4"/>
  <c r="L19" i="4"/>
  <c r="M19" i="4"/>
  <c r="Q19" i="4"/>
  <c r="M18" i="4"/>
  <c r="Q18" i="4"/>
  <c r="M17" i="4"/>
  <c r="Q17" i="4"/>
  <c r="M16" i="4"/>
  <c r="Q16" i="4"/>
  <c r="M15" i="4"/>
  <c r="Q15" i="4"/>
  <c r="M14" i="4"/>
  <c r="Q14" i="4"/>
  <c r="L14" i="4"/>
  <c r="Q13" i="4"/>
  <c r="M13" i="4"/>
  <c r="Q12" i="4"/>
  <c r="M12" i="4"/>
  <c r="Q11" i="4"/>
  <c r="M11" i="4"/>
  <c r="Q10" i="4"/>
  <c r="M10" i="4"/>
  <c r="Q9" i="4"/>
  <c r="M9" i="4"/>
  <c r="Q8" i="4"/>
  <c r="M8" i="4"/>
  <c r="Q7" i="4"/>
  <c r="M7" i="4"/>
  <c r="Q6" i="4"/>
  <c r="M6" i="4"/>
  <c r="Q5" i="4"/>
  <c r="M5" i="4"/>
  <c r="Q4" i="4"/>
  <c r="M4" i="4"/>
  <c r="Q124" i="4"/>
  <c r="L124" i="4"/>
  <c r="K124" i="8"/>
  <c r="M115" i="8"/>
  <c r="Q115" i="8"/>
  <c r="M109" i="8"/>
  <c r="Q109" i="8"/>
  <c r="Q58" i="8"/>
  <c r="M97" i="8"/>
  <c r="Q97" i="8"/>
  <c r="Q99" i="8"/>
  <c r="M45" i="8"/>
  <c r="Q45" i="8"/>
  <c r="M124" i="6"/>
  <c r="Q124" i="6"/>
  <c r="M124" i="5"/>
  <c r="Q124" i="5"/>
  <c r="M124" i="4"/>
  <c r="Q124" i="8"/>
  <c r="M124" i="8"/>
  <c r="L20" i="3"/>
  <c r="L79" i="3"/>
  <c r="M79" i="3"/>
  <c r="T79" i="3"/>
  <c r="L113" i="3"/>
  <c r="B124" i="3"/>
  <c r="P124" i="3"/>
  <c r="O124" i="3"/>
  <c r="N124" i="3"/>
  <c r="J124" i="3"/>
  <c r="I124" i="3"/>
  <c r="H124" i="3"/>
  <c r="G124" i="3"/>
  <c r="F124" i="3"/>
  <c r="E124" i="3"/>
  <c r="D124" i="3"/>
  <c r="C124" i="3"/>
  <c r="L96" i="3"/>
  <c r="K118" i="3"/>
  <c r="K111" i="3"/>
  <c r="S99" i="3"/>
  <c r="R99" i="3"/>
  <c r="Q99" i="3"/>
  <c r="S97" i="3"/>
  <c r="S82" i="3"/>
  <c r="R82" i="3"/>
  <c r="Q82" i="3"/>
  <c r="L82" i="3"/>
  <c r="K77" i="3"/>
  <c r="M77" i="3"/>
  <c r="T77" i="3"/>
  <c r="Q75" i="3"/>
  <c r="S74" i="3"/>
  <c r="R74" i="3"/>
  <c r="Q74" i="3"/>
  <c r="S59" i="3"/>
  <c r="R59" i="3"/>
  <c r="Q59" i="3"/>
  <c r="K55" i="3"/>
  <c r="M55" i="3"/>
  <c r="T55" i="3"/>
  <c r="K73" i="3"/>
  <c r="M60" i="3"/>
  <c r="L46" i="3"/>
  <c r="K42" i="3"/>
  <c r="L37" i="3"/>
  <c r="S17" i="3"/>
  <c r="K17" i="3"/>
  <c r="L109" i="3"/>
  <c r="M109" i="3"/>
  <c r="T109" i="3"/>
  <c r="L92" i="3"/>
  <c r="K86" i="3"/>
  <c r="L76" i="3"/>
  <c r="K71" i="3"/>
  <c r="M71" i="3"/>
  <c r="T71" i="3"/>
  <c r="L45" i="3"/>
  <c r="S31" i="3"/>
  <c r="R31" i="3"/>
  <c r="Q31" i="3"/>
  <c r="K27" i="3"/>
  <c r="K24" i="3"/>
  <c r="L14" i="3"/>
  <c r="L124" i="3"/>
  <c r="K13" i="3"/>
  <c r="K124" i="3"/>
  <c r="S9" i="3"/>
  <c r="R9" i="3"/>
  <c r="R124" i="3"/>
  <c r="Q9" i="3"/>
  <c r="S7" i="3"/>
  <c r="Q7" i="3"/>
  <c r="S4" i="3"/>
  <c r="S124" i="3"/>
  <c r="Q4" i="3"/>
  <c r="Q124" i="3"/>
  <c r="S12" i="3"/>
  <c r="R12" i="3"/>
  <c r="Q12" i="3"/>
  <c r="M123" i="3"/>
  <c r="T123" i="3"/>
  <c r="M122" i="3"/>
  <c r="T122" i="3"/>
  <c r="M121" i="3"/>
  <c r="T121" i="3"/>
  <c r="M120" i="3"/>
  <c r="T120" i="3"/>
  <c r="M119" i="3"/>
  <c r="T119" i="3"/>
  <c r="M118" i="3"/>
  <c r="T118" i="3"/>
  <c r="M117" i="3"/>
  <c r="T117" i="3"/>
  <c r="M116" i="3"/>
  <c r="T116" i="3"/>
  <c r="M115" i="3"/>
  <c r="T115" i="3"/>
  <c r="M114" i="3"/>
  <c r="T114" i="3"/>
  <c r="M113" i="3"/>
  <c r="T113" i="3"/>
  <c r="M112" i="3"/>
  <c r="T112" i="3"/>
  <c r="M111" i="3"/>
  <c r="T111" i="3"/>
  <c r="M110" i="3"/>
  <c r="T110" i="3"/>
  <c r="M108" i="3"/>
  <c r="T108" i="3"/>
  <c r="M107" i="3"/>
  <c r="T107" i="3"/>
  <c r="M106" i="3"/>
  <c r="T106" i="3"/>
  <c r="M105" i="3"/>
  <c r="T105" i="3"/>
  <c r="M104" i="3"/>
  <c r="T104" i="3"/>
  <c r="M103" i="3"/>
  <c r="T103" i="3"/>
  <c r="M102" i="3"/>
  <c r="T102" i="3"/>
  <c r="M101" i="3"/>
  <c r="T101" i="3"/>
  <c r="M100" i="3"/>
  <c r="T100" i="3"/>
  <c r="M99" i="3"/>
  <c r="M98" i="3"/>
  <c r="T98" i="3"/>
  <c r="M97" i="3"/>
  <c r="T97" i="3"/>
  <c r="M96" i="3"/>
  <c r="T96" i="3"/>
  <c r="M95" i="3"/>
  <c r="T95" i="3"/>
  <c r="M94" i="3"/>
  <c r="T94" i="3"/>
  <c r="M93" i="3"/>
  <c r="T93" i="3"/>
  <c r="M92" i="3"/>
  <c r="T92" i="3"/>
  <c r="M91" i="3"/>
  <c r="T91" i="3"/>
  <c r="M90" i="3"/>
  <c r="T90" i="3"/>
  <c r="M89" i="3"/>
  <c r="T89" i="3"/>
  <c r="M88" i="3"/>
  <c r="T88" i="3"/>
  <c r="M87" i="3"/>
  <c r="T87" i="3"/>
  <c r="M86" i="3"/>
  <c r="T86" i="3"/>
  <c r="M85" i="3"/>
  <c r="T85" i="3"/>
  <c r="M84" i="3"/>
  <c r="T84" i="3"/>
  <c r="M83" i="3"/>
  <c r="T83" i="3"/>
  <c r="M82" i="3"/>
  <c r="T82" i="3"/>
  <c r="M81" i="3"/>
  <c r="T81" i="3"/>
  <c r="M80" i="3"/>
  <c r="T80" i="3"/>
  <c r="M78" i="3"/>
  <c r="T78" i="3"/>
  <c r="M76" i="3"/>
  <c r="T76" i="3"/>
  <c r="M75" i="3"/>
  <c r="T75" i="3"/>
  <c r="M74" i="3"/>
  <c r="T74" i="3"/>
  <c r="M73" i="3"/>
  <c r="T73" i="3"/>
  <c r="M72" i="3"/>
  <c r="T72" i="3"/>
  <c r="M70" i="3"/>
  <c r="T70" i="3"/>
  <c r="M69" i="3"/>
  <c r="T69" i="3"/>
  <c r="M68" i="3"/>
  <c r="T68" i="3"/>
  <c r="M67" i="3"/>
  <c r="T67" i="3"/>
  <c r="M66" i="3"/>
  <c r="T66" i="3"/>
  <c r="M65" i="3"/>
  <c r="T65" i="3"/>
  <c r="M64" i="3"/>
  <c r="T64" i="3"/>
  <c r="M63" i="3"/>
  <c r="T63" i="3"/>
  <c r="M62" i="3"/>
  <c r="T62" i="3"/>
  <c r="M61" i="3"/>
  <c r="T61" i="3"/>
  <c r="T60" i="3"/>
  <c r="M59" i="3"/>
  <c r="M58" i="3"/>
  <c r="T58" i="3"/>
  <c r="M57" i="3"/>
  <c r="T57" i="3"/>
  <c r="M56" i="3"/>
  <c r="T56" i="3"/>
  <c r="M54" i="3"/>
  <c r="T54" i="3"/>
  <c r="M53" i="3"/>
  <c r="T53" i="3"/>
  <c r="M52" i="3"/>
  <c r="T52" i="3"/>
  <c r="M51" i="3"/>
  <c r="T51" i="3"/>
  <c r="M50" i="3"/>
  <c r="T50" i="3"/>
  <c r="M49" i="3"/>
  <c r="T49" i="3"/>
  <c r="M48" i="3"/>
  <c r="T48" i="3"/>
  <c r="M47" i="3"/>
  <c r="T47" i="3"/>
  <c r="M46" i="3"/>
  <c r="T46" i="3"/>
  <c r="M45" i="3"/>
  <c r="T45" i="3"/>
  <c r="M44" i="3"/>
  <c r="T44" i="3"/>
  <c r="M43" i="3"/>
  <c r="T43" i="3"/>
  <c r="M42" i="3"/>
  <c r="T42" i="3"/>
  <c r="M41" i="3"/>
  <c r="T41" i="3"/>
  <c r="M40" i="3"/>
  <c r="T40" i="3"/>
  <c r="M39" i="3"/>
  <c r="T39" i="3"/>
  <c r="M38" i="3"/>
  <c r="T38" i="3"/>
  <c r="M37" i="3"/>
  <c r="T37" i="3"/>
  <c r="M36" i="3"/>
  <c r="T36" i="3"/>
  <c r="M35" i="3"/>
  <c r="T35" i="3"/>
  <c r="M34" i="3"/>
  <c r="T34" i="3"/>
  <c r="M33" i="3"/>
  <c r="T33" i="3"/>
  <c r="M32" i="3"/>
  <c r="T32" i="3"/>
  <c r="M31" i="3"/>
  <c r="M30" i="3"/>
  <c r="T30" i="3"/>
  <c r="M29" i="3"/>
  <c r="T29" i="3"/>
  <c r="M28" i="3"/>
  <c r="T28" i="3"/>
  <c r="M27" i="3"/>
  <c r="T27" i="3"/>
  <c r="M26" i="3"/>
  <c r="T26" i="3"/>
  <c r="M25" i="3"/>
  <c r="T25" i="3"/>
  <c r="M24" i="3"/>
  <c r="T24" i="3"/>
  <c r="M23" i="3"/>
  <c r="T23" i="3"/>
  <c r="M22" i="3"/>
  <c r="T22" i="3"/>
  <c r="M21" i="3"/>
  <c r="T21" i="3"/>
  <c r="M20" i="3"/>
  <c r="T20" i="3"/>
  <c r="M18" i="3"/>
  <c r="T18" i="3"/>
  <c r="M17" i="3"/>
  <c r="T17" i="3"/>
  <c r="M16" i="3"/>
  <c r="T16" i="3"/>
  <c r="M15" i="3"/>
  <c r="T15" i="3"/>
  <c r="M14" i="3"/>
  <c r="T14" i="3"/>
  <c r="M13" i="3"/>
  <c r="T13" i="3"/>
  <c r="M12" i="3"/>
  <c r="M10" i="3"/>
  <c r="T10" i="3"/>
  <c r="M9" i="3"/>
  <c r="M8" i="3"/>
  <c r="T8" i="3"/>
  <c r="M7" i="3"/>
  <c r="M6" i="3"/>
  <c r="T6" i="3"/>
  <c r="M4" i="3"/>
  <c r="Q33" i="2"/>
  <c r="S123" i="2"/>
  <c r="Q123" i="2"/>
  <c r="S122" i="2"/>
  <c r="R122" i="2"/>
  <c r="Q122" i="2"/>
  <c r="S120" i="2"/>
  <c r="Q120" i="2"/>
  <c r="S118" i="2"/>
  <c r="R118" i="2"/>
  <c r="Q118" i="2"/>
  <c r="K118" i="2"/>
  <c r="L117" i="2"/>
  <c r="M117" i="2"/>
  <c r="T117" i="2"/>
  <c r="S114" i="2"/>
  <c r="R114" i="2"/>
  <c r="Q114" i="2"/>
  <c r="S113" i="2"/>
  <c r="Q113" i="2"/>
  <c r="S112" i="2"/>
  <c r="Q112" i="2"/>
  <c r="K111" i="2"/>
  <c r="M111" i="2"/>
  <c r="T111" i="2"/>
  <c r="S107" i="2"/>
  <c r="R107" i="2"/>
  <c r="Q107" i="2"/>
  <c r="S105" i="2"/>
  <c r="R105" i="2"/>
  <c r="Q105" i="2"/>
  <c r="S104" i="2"/>
  <c r="R104" i="2"/>
  <c r="Q104" i="2"/>
  <c r="S102" i="2"/>
  <c r="S101" i="2"/>
  <c r="R101" i="2"/>
  <c r="Q101" i="2"/>
  <c r="S99" i="2"/>
  <c r="R99" i="2"/>
  <c r="Q99" i="2"/>
  <c r="S97" i="2"/>
  <c r="R97" i="2"/>
  <c r="Q97" i="2"/>
  <c r="L96" i="2"/>
  <c r="K93" i="2"/>
  <c r="L92" i="2"/>
  <c r="S91" i="2"/>
  <c r="R91" i="2"/>
  <c r="Q91" i="2"/>
  <c r="K90" i="2"/>
  <c r="K86" i="2"/>
  <c r="S82" i="2"/>
  <c r="R82" i="2"/>
  <c r="Q82" i="2"/>
  <c r="L82" i="2"/>
  <c r="M82" i="2"/>
  <c r="S81" i="2"/>
  <c r="Q81" i="2"/>
  <c r="S80" i="2"/>
  <c r="R80" i="2"/>
  <c r="Q80" i="2"/>
  <c r="K77" i="2"/>
  <c r="S76" i="2"/>
  <c r="R76" i="2"/>
  <c r="Q76" i="2"/>
  <c r="L76" i="2"/>
  <c r="Q75" i="2"/>
  <c r="K75" i="2"/>
  <c r="S74" i="2"/>
  <c r="R74" i="2"/>
  <c r="Q74" i="2"/>
  <c r="S73" i="2"/>
  <c r="Q73" i="2"/>
  <c r="K73" i="2"/>
  <c r="S72" i="2"/>
  <c r="R72" i="2"/>
  <c r="Q72" i="2"/>
  <c r="S71" i="2"/>
  <c r="R71" i="2"/>
  <c r="Q71" i="2"/>
  <c r="K71" i="2"/>
  <c r="S69" i="2"/>
  <c r="R69" i="2"/>
  <c r="Q69" i="2"/>
  <c r="Q68" i="2"/>
  <c r="S68" i="2"/>
  <c r="K67" i="2"/>
  <c r="Q66" i="2"/>
  <c r="S65" i="2"/>
  <c r="R65" i="2"/>
  <c r="Q65" i="2"/>
  <c r="K65" i="2"/>
  <c r="K64" i="2"/>
  <c r="M64" i="2"/>
  <c r="T64" i="2"/>
  <c r="K61" i="2"/>
  <c r="K60" i="2"/>
  <c r="M60" i="2"/>
  <c r="T60" i="2"/>
  <c r="S59" i="2"/>
  <c r="Q59" i="2"/>
  <c r="R59" i="2"/>
  <c r="S58" i="2"/>
  <c r="R58" i="2"/>
  <c r="Q58" i="2"/>
  <c r="S57" i="2"/>
  <c r="K57" i="2"/>
  <c r="K56" i="2"/>
  <c r="Q55" i="2"/>
  <c r="K55" i="2"/>
  <c r="S54" i="2"/>
  <c r="R54" i="2"/>
  <c r="Q54" i="2"/>
  <c r="Q52" i="2"/>
  <c r="S50" i="2"/>
  <c r="Q50" i="2"/>
  <c r="E50" i="2"/>
  <c r="M50" i="2"/>
  <c r="T50" i="2"/>
  <c r="K48" i="2"/>
  <c r="S47" i="2"/>
  <c r="Q47" i="2"/>
  <c r="S46" i="2"/>
  <c r="R46" i="2"/>
  <c r="Q46" i="2"/>
  <c r="K46" i="2"/>
  <c r="L45" i="2"/>
  <c r="K45" i="2"/>
  <c r="K42" i="2"/>
  <c r="M42" i="2"/>
  <c r="T42" i="2"/>
  <c r="S41" i="2"/>
  <c r="R41" i="2"/>
  <c r="Q41" i="2"/>
  <c r="L37" i="2"/>
  <c r="S32" i="2"/>
  <c r="R32" i="2"/>
  <c r="Q32" i="2"/>
  <c r="S31" i="2"/>
  <c r="R31" i="2"/>
  <c r="Q31" i="2"/>
  <c r="S30" i="2"/>
  <c r="R30" i="2"/>
  <c r="Q30" i="2"/>
  <c r="S29" i="2"/>
  <c r="Q29" i="2"/>
  <c r="S27" i="2"/>
  <c r="R27" i="2"/>
  <c r="Q27" i="2"/>
  <c r="K27" i="2"/>
  <c r="S26" i="2"/>
  <c r="R26" i="2"/>
  <c r="Q26" i="2"/>
  <c r="S25" i="2"/>
  <c r="R25" i="2"/>
  <c r="Q25" i="2"/>
  <c r="K24" i="2"/>
  <c r="M24" i="2"/>
  <c r="T24" i="2"/>
  <c r="S21" i="2"/>
  <c r="R21" i="2"/>
  <c r="Q21" i="2"/>
  <c r="K21" i="2"/>
  <c r="Q20" i="2"/>
  <c r="R19" i="2"/>
  <c r="S19" i="2"/>
  <c r="Q19" i="2"/>
  <c r="L19" i="2"/>
  <c r="K18" i="2"/>
  <c r="M18" i="2"/>
  <c r="T18" i="2"/>
  <c r="S17" i="2"/>
  <c r="E15" i="2"/>
  <c r="E125" i="2"/>
  <c r="K14" i="2"/>
  <c r="K13" i="2"/>
  <c r="K125" i="2"/>
  <c r="S12" i="2"/>
  <c r="R12" i="2"/>
  <c r="Q12" i="2"/>
  <c r="R11" i="2"/>
  <c r="S11" i="2"/>
  <c r="Q11" i="2"/>
  <c r="E11" i="2"/>
  <c r="R9" i="2"/>
  <c r="R125" i="2"/>
  <c r="Q9" i="2"/>
  <c r="S9" i="2"/>
  <c r="S7" i="2"/>
  <c r="Q7" i="2"/>
  <c r="K5" i="2"/>
  <c r="S4" i="2"/>
  <c r="Q4" i="2"/>
  <c r="S125" i="2"/>
  <c r="Q125" i="2"/>
  <c r="P125" i="2"/>
  <c r="O125" i="2"/>
  <c r="N125" i="2"/>
  <c r="L125" i="2"/>
  <c r="J125" i="2"/>
  <c r="I125" i="2"/>
  <c r="H125" i="2"/>
  <c r="G125" i="2"/>
  <c r="F125" i="2"/>
  <c r="D125" i="2"/>
  <c r="C125" i="2"/>
  <c r="B125" i="2"/>
  <c r="M123" i="2"/>
  <c r="M122" i="2"/>
  <c r="T122" i="2"/>
  <c r="M121" i="2"/>
  <c r="T121" i="2"/>
  <c r="M120" i="2"/>
  <c r="T120" i="2"/>
  <c r="M119" i="2"/>
  <c r="T119" i="2"/>
  <c r="M118" i="2"/>
  <c r="T118" i="2"/>
  <c r="M116" i="2"/>
  <c r="T116" i="2"/>
  <c r="M115" i="2"/>
  <c r="T115" i="2"/>
  <c r="M114" i="2"/>
  <c r="T114" i="2"/>
  <c r="M113" i="2"/>
  <c r="M112" i="2"/>
  <c r="T112" i="2"/>
  <c r="M110" i="2"/>
  <c r="T110" i="2"/>
  <c r="M109" i="2"/>
  <c r="T109" i="2"/>
  <c r="M108" i="2"/>
  <c r="T108" i="2"/>
  <c r="M107" i="2"/>
  <c r="M106" i="2"/>
  <c r="T106" i="2"/>
  <c r="M105" i="2"/>
  <c r="M104" i="2"/>
  <c r="T104" i="2"/>
  <c r="M103" i="2"/>
  <c r="T103" i="2"/>
  <c r="M102" i="2"/>
  <c r="T102" i="2"/>
  <c r="M101" i="2"/>
  <c r="M100" i="2"/>
  <c r="T100" i="2"/>
  <c r="M99" i="2"/>
  <c r="M98" i="2"/>
  <c r="T98" i="2"/>
  <c r="M97" i="2"/>
  <c r="M96" i="2"/>
  <c r="T96" i="2"/>
  <c r="M95" i="2"/>
  <c r="T95" i="2"/>
  <c r="M94" i="2"/>
  <c r="T94" i="2"/>
  <c r="M93" i="2"/>
  <c r="T93" i="2"/>
  <c r="M92" i="2"/>
  <c r="T92" i="2"/>
  <c r="M91" i="2"/>
  <c r="M90" i="2"/>
  <c r="T90" i="2"/>
  <c r="M89" i="2"/>
  <c r="T89" i="2"/>
  <c r="M88" i="2"/>
  <c r="T88" i="2"/>
  <c r="M87" i="2"/>
  <c r="T87" i="2"/>
  <c r="M86" i="2"/>
  <c r="T86" i="2"/>
  <c r="M85" i="2"/>
  <c r="T85" i="2"/>
  <c r="M84" i="2"/>
  <c r="T84" i="2"/>
  <c r="M83" i="2"/>
  <c r="T83" i="2"/>
  <c r="M81" i="2"/>
  <c r="T81" i="2"/>
  <c r="M80" i="2"/>
  <c r="M79" i="2"/>
  <c r="T79" i="2"/>
  <c r="M78" i="2"/>
  <c r="T78" i="2"/>
  <c r="M77" i="2"/>
  <c r="T77" i="2"/>
  <c r="M76" i="2"/>
  <c r="M75" i="2"/>
  <c r="T75" i="2"/>
  <c r="M74" i="2"/>
  <c r="M73" i="2"/>
  <c r="T73" i="2"/>
  <c r="M72" i="2"/>
  <c r="M71" i="2"/>
  <c r="T71" i="2"/>
  <c r="M70" i="2"/>
  <c r="T70" i="2"/>
  <c r="M69" i="2"/>
  <c r="T69" i="2"/>
  <c r="M68" i="2"/>
  <c r="M67" i="2"/>
  <c r="T67" i="2"/>
  <c r="M66" i="2"/>
  <c r="T66" i="2"/>
  <c r="M65" i="2"/>
  <c r="T65" i="2"/>
  <c r="M63" i="2"/>
  <c r="T63" i="2"/>
  <c r="M62" i="2"/>
  <c r="T62" i="2"/>
  <c r="M61" i="2"/>
  <c r="T61" i="2"/>
  <c r="M59" i="2"/>
  <c r="T59" i="2"/>
  <c r="M58" i="2"/>
  <c r="M57" i="2"/>
  <c r="T57" i="2"/>
  <c r="M56" i="2"/>
  <c r="T56" i="2"/>
  <c r="M55" i="2"/>
  <c r="T55" i="2"/>
  <c r="M54" i="2"/>
  <c r="M53" i="2"/>
  <c r="T53" i="2"/>
  <c r="M52" i="2"/>
  <c r="T52" i="2"/>
  <c r="M51" i="2"/>
  <c r="T51" i="2"/>
  <c r="M49" i="2"/>
  <c r="T49" i="2"/>
  <c r="M48" i="2"/>
  <c r="T48" i="2"/>
  <c r="M47" i="2"/>
  <c r="T47" i="2"/>
  <c r="M46" i="2"/>
  <c r="M45" i="2"/>
  <c r="T45" i="2"/>
  <c r="M44" i="2"/>
  <c r="T44" i="2"/>
  <c r="M43" i="2"/>
  <c r="T43" i="2"/>
  <c r="M41" i="2"/>
  <c r="T41" i="2"/>
  <c r="M40" i="2"/>
  <c r="T40" i="2"/>
  <c r="M39" i="2"/>
  <c r="T39" i="2"/>
  <c r="M38" i="2"/>
  <c r="T38" i="2"/>
  <c r="M37" i="2"/>
  <c r="T37" i="2"/>
  <c r="M36" i="2"/>
  <c r="T36" i="2"/>
  <c r="M35" i="2"/>
  <c r="T35" i="2"/>
  <c r="M34" i="2"/>
  <c r="T34" i="2"/>
  <c r="M33" i="2"/>
  <c r="T33" i="2"/>
  <c r="M32" i="2"/>
  <c r="M31" i="2"/>
  <c r="T31" i="2"/>
  <c r="M30" i="2"/>
  <c r="M29" i="2"/>
  <c r="T29" i="2"/>
  <c r="M28" i="2"/>
  <c r="T28" i="2"/>
  <c r="M27" i="2"/>
  <c r="T27" i="2"/>
  <c r="M26" i="2"/>
  <c r="M25" i="2"/>
  <c r="T25" i="2"/>
  <c r="M23" i="2"/>
  <c r="T23" i="2"/>
  <c r="M22" i="2"/>
  <c r="T22" i="2"/>
  <c r="M21" i="2"/>
  <c r="T21" i="2"/>
  <c r="M20" i="2"/>
  <c r="T20" i="2"/>
  <c r="M19" i="2"/>
  <c r="T19" i="2"/>
  <c r="M17" i="2"/>
  <c r="T17" i="2"/>
  <c r="M16" i="2"/>
  <c r="T16" i="2"/>
  <c r="M15" i="2"/>
  <c r="T15" i="2"/>
  <c r="M14" i="2"/>
  <c r="T14" i="2"/>
  <c r="M13" i="2"/>
  <c r="T13" i="2"/>
  <c r="M12" i="2"/>
  <c r="M11" i="2"/>
  <c r="T11" i="2"/>
  <c r="M10" i="2"/>
  <c r="T10" i="2"/>
  <c r="M9" i="2"/>
  <c r="T9" i="2"/>
  <c r="M8" i="2"/>
  <c r="T8" i="2"/>
  <c r="M7" i="2"/>
  <c r="T7" i="2"/>
  <c r="M6" i="2"/>
  <c r="T6" i="2"/>
  <c r="M5" i="2"/>
  <c r="T5" i="2"/>
  <c r="M4" i="2"/>
  <c r="M5" i="1"/>
  <c r="C126" i="1"/>
  <c r="D126" i="1"/>
  <c r="E126" i="1"/>
  <c r="F126" i="1"/>
  <c r="G126" i="1"/>
  <c r="H126" i="1"/>
  <c r="I126" i="1"/>
  <c r="J126" i="1"/>
  <c r="K126" i="1"/>
  <c r="L126" i="1"/>
  <c r="N126" i="1"/>
  <c r="O126" i="1"/>
  <c r="P126" i="1"/>
  <c r="Q126" i="1"/>
  <c r="R126" i="1"/>
  <c r="S126" i="1"/>
  <c r="B126" i="1"/>
  <c r="M121" i="1"/>
  <c r="T121" i="1"/>
  <c r="M57" i="1"/>
  <c r="M6" i="1"/>
  <c r="T6" i="1"/>
  <c r="M7" i="1"/>
  <c r="T7" i="1"/>
  <c r="M8" i="1"/>
  <c r="T8" i="1"/>
  <c r="M9" i="1"/>
  <c r="T9" i="1"/>
  <c r="M10" i="1"/>
  <c r="T10" i="1"/>
  <c r="M11" i="1"/>
  <c r="T11" i="1"/>
  <c r="M12" i="1"/>
  <c r="T12" i="1"/>
  <c r="M13" i="1"/>
  <c r="T13" i="1"/>
  <c r="M14" i="1"/>
  <c r="T14" i="1"/>
  <c r="M15" i="1"/>
  <c r="T15" i="1"/>
  <c r="M16" i="1"/>
  <c r="T16" i="1"/>
  <c r="M17" i="1"/>
  <c r="T17" i="1"/>
  <c r="M18" i="1"/>
  <c r="T18" i="1"/>
  <c r="M19" i="1"/>
  <c r="T19" i="1"/>
  <c r="M20" i="1"/>
  <c r="T20" i="1"/>
  <c r="M21" i="1"/>
  <c r="T21" i="1"/>
  <c r="M22" i="1"/>
  <c r="T22" i="1"/>
  <c r="M23" i="1"/>
  <c r="T23" i="1"/>
  <c r="M24" i="1"/>
  <c r="T24" i="1"/>
  <c r="M25" i="1"/>
  <c r="T25" i="1"/>
  <c r="M26" i="1"/>
  <c r="T26" i="1"/>
  <c r="M27" i="1"/>
  <c r="T27" i="1"/>
  <c r="M28" i="1"/>
  <c r="T28" i="1"/>
  <c r="M29" i="1"/>
  <c r="T29" i="1"/>
  <c r="M30" i="1"/>
  <c r="T30" i="1"/>
  <c r="M31" i="1"/>
  <c r="T31" i="1"/>
  <c r="M32" i="1"/>
  <c r="T32" i="1"/>
  <c r="M33" i="1"/>
  <c r="T33" i="1"/>
  <c r="M34" i="1"/>
  <c r="T34" i="1"/>
  <c r="M35" i="1"/>
  <c r="T35" i="1"/>
  <c r="M36" i="1"/>
  <c r="T36" i="1"/>
  <c r="M37" i="1"/>
  <c r="T37" i="1"/>
  <c r="M38" i="1"/>
  <c r="T38" i="1"/>
  <c r="M39" i="1"/>
  <c r="T39" i="1"/>
  <c r="M40" i="1"/>
  <c r="T40" i="1"/>
  <c r="M41" i="1"/>
  <c r="T41" i="1"/>
  <c r="M42" i="1"/>
  <c r="T42" i="1"/>
  <c r="M43" i="1"/>
  <c r="T43" i="1"/>
  <c r="M44" i="1"/>
  <c r="T44" i="1"/>
  <c r="M45" i="1"/>
  <c r="T45" i="1"/>
  <c r="M46" i="1"/>
  <c r="T46" i="1"/>
  <c r="M47" i="1"/>
  <c r="T47" i="1"/>
  <c r="M48" i="1"/>
  <c r="T48" i="1"/>
  <c r="M49" i="1"/>
  <c r="T49" i="1"/>
  <c r="M50" i="1"/>
  <c r="T50" i="1"/>
  <c r="M51" i="1"/>
  <c r="T51" i="1"/>
  <c r="M52" i="1"/>
  <c r="T52" i="1"/>
  <c r="M53" i="1"/>
  <c r="T53" i="1"/>
  <c r="M54" i="1"/>
  <c r="T54" i="1"/>
  <c r="M55" i="1"/>
  <c r="T55" i="1"/>
  <c r="M56" i="1"/>
  <c r="T56" i="1"/>
  <c r="T57" i="1"/>
  <c r="M58" i="1"/>
  <c r="T58" i="1"/>
  <c r="M59" i="1"/>
  <c r="T59" i="1"/>
  <c r="M60" i="1"/>
  <c r="T60" i="1"/>
  <c r="M61" i="1"/>
  <c r="T61" i="1"/>
  <c r="M62" i="1"/>
  <c r="T62" i="1"/>
  <c r="M63" i="1"/>
  <c r="T63" i="1"/>
  <c r="M64" i="1"/>
  <c r="T64" i="1"/>
  <c r="M65" i="1"/>
  <c r="T65" i="1"/>
  <c r="M66" i="1"/>
  <c r="T66" i="1"/>
  <c r="M67" i="1"/>
  <c r="T67" i="1"/>
  <c r="M68" i="1"/>
  <c r="T68" i="1"/>
  <c r="M69" i="1"/>
  <c r="T69" i="1"/>
  <c r="M70" i="1"/>
  <c r="T70" i="1"/>
  <c r="M71" i="1"/>
  <c r="T71" i="1"/>
  <c r="M72" i="1"/>
  <c r="T72" i="1"/>
  <c r="M73" i="1"/>
  <c r="T73" i="1"/>
  <c r="M74" i="1"/>
  <c r="T74" i="1"/>
  <c r="M75" i="1"/>
  <c r="T75" i="1"/>
  <c r="M76" i="1"/>
  <c r="T76" i="1"/>
  <c r="M77" i="1"/>
  <c r="T77" i="1"/>
  <c r="M78" i="1"/>
  <c r="T78" i="1"/>
  <c r="M79" i="1"/>
  <c r="T79" i="1"/>
  <c r="M80" i="1"/>
  <c r="T80" i="1"/>
  <c r="M81" i="1"/>
  <c r="T81" i="1"/>
  <c r="M82" i="1"/>
  <c r="T82" i="1"/>
  <c r="M83" i="1"/>
  <c r="T83" i="1"/>
  <c r="M84" i="1"/>
  <c r="T84" i="1"/>
  <c r="M85" i="1"/>
  <c r="T85" i="1"/>
  <c r="M86" i="1"/>
  <c r="T86" i="1"/>
  <c r="M87" i="1"/>
  <c r="T87" i="1"/>
  <c r="M88" i="1"/>
  <c r="T88" i="1"/>
  <c r="M89" i="1"/>
  <c r="T89" i="1"/>
  <c r="M90" i="1"/>
  <c r="T90" i="1"/>
  <c r="M91" i="1"/>
  <c r="T91" i="1"/>
  <c r="M92" i="1"/>
  <c r="T92" i="1"/>
  <c r="M93" i="1"/>
  <c r="T93" i="1"/>
  <c r="M94" i="1"/>
  <c r="T94" i="1"/>
  <c r="M95" i="1"/>
  <c r="T95" i="1"/>
  <c r="M96" i="1"/>
  <c r="T96" i="1"/>
  <c r="M97" i="1"/>
  <c r="T97" i="1"/>
  <c r="M98" i="1"/>
  <c r="T98" i="1"/>
  <c r="M99" i="1"/>
  <c r="T99" i="1"/>
  <c r="M100" i="1"/>
  <c r="T100" i="1"/>
  <c r="M101" i="1"/>
  <c r="T101" i="1"/>
  <c r="M102" i="1"/>
  <c r="T102" i="1"/>
  <c r="M103" i="1"/>
  <c r="T103" i="1"/>
  <c r="M104" i="1"/>
  <c r="T104" i="1"/>
  <c r="M105" i="1"/>
  <c r="T105" i="1"/>
  <c r="M106" i="1"/>
  <c r="T106" i="1"/>
  <c r="M107" i="1"/>
  <c r="T107" i="1"/>
  <c r="M108" i="1"/>
  <c r="T108" i="1"/>
  <c r="M109" i="1"/>
  <c r="T109" i="1"/>
  <c r="M110" i="1"/>
  <c r="T110" i="1"/>
  <c r="M111" i="1"/>
  <c r="T111" i="1"/>
  <c r="M112" i="1"/>
  <c r="T112" i="1"/>
  <c r="M113" i="1"/>
  <c r="T113" i="1"/>
  <c r="M114" i="1"/>
  <c r="T114" i="1"/>
  <c r="M115" i="1"/>
  <c r="T115" i="1"/>
  <c r="M116" i="1"/>
  <c r="T116" i="1"/>
  <c r="M117" i="1"/>
  <c r="T117" i="1"/>
  <c r="M118" i="1"/>
  <c r="T118" i="1"/>
  <c r="M119" i="1"/>
  <c r="T119" i="1"/>
  <c r="M120" i="1"/>
  <c r="T120" i="1"/>
  <c r="M122" i="1"/>
  <c r="T122" i="1"/>
  <c r="M123" i="1"/>
  <c r="T123" i="1"/>
  <c r="M124" i="1"/>
  <c r="T124" i="1"/>
  <c r="T12" i="2"/>
  <c r="T26" i="2"/>
  <c r="T30" i="2"/>
  <c r="T32" i="2"/>
  <c r="T46" i="2"/>
  <c r="T54" i="2"/>
  <c r="T58" i="2"/>
  <c r="T68" i="2"/>
  <c r="T72" i="2"/>
  <c r="T74" i="2"/>
  <c r="T76" i="2"/>
  <c r="T80" i="2"/>
  <c r="T91" i="2"/>
  <c r="T97" i="2"/>
  <c r="T99" i="2"/>
  <c r="T101" i="2"/>
  <c r="T105" i="2"/>
  <c r="T107" i="2"/>
  <c r="T113" i="2"/>
  <c r="T123" i="2"/>
  <c r="T82" i="2"/>
  <c r="T7" i="3"/>
  <c r="T9" i="3"/>
  <c r="T12" i="3"/>
  <c r="T31" i="3"/>
  <c r="T59" i="3"/>
  <c r="T99" i="3"/>
  <c r="M125" i="2"/>
  <c r="T4" i="3"/>
  <c r="M5" i="3"/>
  <c r="T5" i="3"/>
  <c r="M11" i="3"/>
  <c r="T11" i="3"/>
  <c r="M19" i="3"/>
  <c r="T19" i="3"/>
  <c r="T4" i="2"/>
  <c r="T125" i="2"/>
  <c r="M126" i="1"/>
  <c r="T5" i="1"/>
  <c r="T126" i="1"/>
  <c r="T124" i="3"/>
  <c r="M124" i="3"/>
</calcChain>
</file>

<file path=xl/sharedStrings.xml><?xml version="1.0" encoding="utf-8"?>
<sst xmlns="http://schemas.openxmlformats.org/spreadsheetml/2006/main" count="1039" uniqueCount="185">
  <si>
    <t>County</t>
  </si>
  <si>
    <t xml:space="preserve">Number of </t>
  </si>
  <si>
    <t>Bills Purchased</t>
  </si>
  <si>
    <t>State</t>
  </si>
  <si>
    <t xml:space="preserve">County </t>
  </si>
  <si>
    <t xml:space="preserve">School </t>
  </si>
  <si>
    <t xml:space="preserve">Library </t>
  </si>
  <si>
    <t>Health</t>
  </si>
  <si>
    <t>Extension</t>
  </si>
  <si>
    <t>Soil</t>
  </si>
  <si>
    <t>Fire</t>
  </si>
  <si>
    <t>Miscellaneous</t>
  </si>
  <si>
    <t>Districts</t>
  </si>
  <si>
    <t xml:space="preserve">Total </t>
  </si>
  <si>
    <t>Tax</t>
  </si>
  <si>
    <t>Penalty</t>
  </si>
  <si>
    <t>Fiscal</t>
  </si>
  <si>
    <t>Court</t>
  </si>
  <si>
    <t>Interest</t>
  </si>
  <si>
    <t>Sheriff</t>
  </si>
  <si>
    <t>Fees</t>
  </si>
  <si>
    <t>Co. Atty</t>
  </si>
  <si>
    <t>Co. Clerk</t>
  </si>
  <si>
    <t>Total</t>
  </si>
  <si>
    <t>Paid</t>
  </si>
  <si>
    <t>Adair</t>
  </si>
  <si>
    <t>Ambulance</t>
  </si>
  <si>
    <t>Allen</t>
  </si>
  <si>
    <t>Anderson</t>
  </si>
  <si>
    <t>Ballard</t>
  </si>
  <si>
    <t>Barren</t>
  </si>
  <si>
    <t>Bath</t>
  </si>
  <si>
    <t>Bell</t>
  </si>
  <si>
    <t>Boone</t>
  </si>
  <si>
    <t>Bourbon</t>
  </si>
  <si>
    <t>Boyd</t>
  </si>
  <si>
    <t>Boyle</t>
  </si>
  <si>
    <t>Bracken</t>
  </si>
  <si>
    <t>Breathitt</t>
  </si>
  <si>
    <t>unknown</t>
  </si>
  <si>
    <t>Bullitt</t>
  </si>
  <si>
    <t>Butler</t>
  </si>
  <si>
    <t>Caldwell</t>
  </si>
  <si>
    <t>Calloway</t>
  </si>
  <si>
    <t>Campbell</t>
  </si>
  <si>
    <t>Carlisle</t>
  </si>
  <si>
    <t>Carroll</t>
  </si>
  <si>
    <t>Carter</t>
  </si>
  <si>
    <t>Casey</t>
  </si>
  <si>
    <t>Christian</t>
  </si>
  <si>
    <t>Clark</t>
  </si>
  <si>
    <t>Clay</t>
  </si>
  <si>
    <t>Clinton</t>
  </si>
  <si>
    <t>Crittenden</t>
  </si>
  <si>
    <t>Daviess</t>
  </si>
  <si>
    <t>Edmonson</t>
  </si>
  <si>
    <t>Elliott</t>
  </si>
  <si>
    <t>Estill</t>
  </si>
  <si>
    <t>Fayette</t>
  </si>
  <si>
    <t>Fleming</t>
  </si>
  <si>
    <t>Franklin</t>
  </si>
  <si>
    <t>Fulton</t>
  </si>
  <si>
    <t>Gallatin</t>
  </si>
  <si>
    <t>Garrard</t>
  </si>
  <si>
    <t>Grant</t>
  </si>
  <si>
    <t>Graves</t>
  </si>
  <si>
    <t>Grayson</t>
  </si>
  <si>
    <t>Green</t>
  </si>
  <si>
    <t>Greenup</t>
  </si>
  <si>
    <t>Hancock</t>
  </si>
  <si>
    <t>Hardin</t>
  </si>
  <si>
    <t>Harlan</t>
  </si>
  <si>
    <t>Harrison</t>
  </si>
  <si>
    <t>Hart</t>
  </si>
  <si>
    <t>Henderson</t>
  </si>
  <si>
    <t>Henry</t>
  </si>
  <si>
    <t>Hickman</t>
  </si>
  <si>
    <t>Jackson</t>
  </si>
  <si>
    <t>Jefferson</t>
  </si>
  <si>
    <t>Jessamine</t>
  </si>
  <si>
    <t>Johnson</t>
  </si>
  <si>
    <t>Kenton</t>
  </si>
  <si>
    <t>Knott</t>
  </si>
  <si>
    <t>Knox</t>
  </si>
  <si>
    <t>Larue</t>
  </si>
  <si>
    <t>Laurel</t>
  </si>
  <si>
    <t>Lawrence</t>
  </si>
  <si>
    <t>Lee</t>
  </si>
  <si>
    <t>Leslie</t>
  </si>
  <si>
    <t>Letcher</t>
  </si>
  <si>
    <t>Lewis</t>
  </si>
  <si>
    <t>Lincoln</t>
  </si>
  <si>
    <t>Livingston</t>
  </si>
  <si>
    <t>Logan</t>
  </si>
  <si>
    <t>Lyon</t>
  </si>
  <si>
    <t>McCracken</t>
  </si>
  <si>
    <t>McCreary</t>
  </si>
  <si>
    <t>McLean</t>
  </si>
  <si>
    <t>Madison</t>
  </si>
  <si>
    <t>Magoffin</t>
  </si>
  <si>
    <t>Marion</t>
  </si>
  <si>
    <t>Marshall</t>
  </si>
  <si>
    <t>Martin</t>
  </si>
  <si>
    <t>Mason</t>
  </si>
  <si>
    <t>Meade</t>
  </si>
  <si>
    <t>Menifee</t>
  </si>
  <si>
    <t>Mercer</t>
  </si>
  <si>
    <t>Metcalfe</t>
  </si>
  <si>
    <t>Monroe</t>
  </si>
  <si>
    <t>Montgomery</t>
  </si>
  <si>
    <t>Morgan</t>
  </si>
  <si>
    <t>Muhlenberg</t>
  </si>
  <si>
    <t>Nelson</t>
  </si>
  <si>
    <t>Nicholas</t>
  </si>
  <si>
    <t>Ohio</t>
  </si>
  <si>
    <t>Oldham</t>
  </si>
  <si>
    <t>Owsley</t>
  </si>
  <si>
    <t>Pendleton</t>
  </si>
  <si>
    <t>Perry</t>
  </si>
  <si>
    <t>Pike</t>
  </si>
  <si>
    <t>Powell</t>
  </si>
  <si>
    <t>Pulaski</t>
  </si>
  <si>
    <t>Robertson</t>
  </si>
  <si>
    <t>Rockcastle</t>
  </si>
  <si>
    <t>Rowan</t>
  </si>
  <si>
    <t>Russell</t>
  </si>
  <si>
    <t>Scott</t>
  </si>
  <si>
    <t>Shelby</t>
  </si>
  <si>
    <t>Simpson</t>
  </si>
  <si>
    <t>Spencer</t>
  </si>
  <si>
    <t>Taylor</t>
  </si>
  <si>
    <t>Todd</t>
  </si>
  <si>
    <t>Trigg</t>
  </si>
  <si>
    <t>Trimble</t>
  </si>
  <si>
    <t>Union</t>
  </si>
  <si>
    <t>Warren</t>
  </si>
  <si>
    <t>Washington</t>
  </si>
  <si>
    <t>Wayne</t>
  </si>
  <si>
    <t>Webster</t>
  </si>
  <si>
    <t>Whitley</t>
  </si>
  <si>
    <t>Wolfe</t>
  </si>
  <si>
    <t>Grand Totals</t>
  </si>
  <si>
    <t>Receipts From Third Party Purchasers - Tax Sales of 2009 Certificates of Delinquency</t>
  </si>
  <si>
    <t>Woodford *</t>
  </si>
  <si>
    <t xml:space="preserve">However, in some circumstances, the amounts had to be estimated due to the format of the report  received.  Additionally, any certificate of delinquency acquired by a  third party purchaser in the months </t>
  </si>
  <si>
    <t xml:space="preserve">delinquency.  The county clerk collection report for the month in which the tax sale occurred was reviewed and every effort was made to identify which certifictes were actually acquired by third party purchasers.  </t>
  </si>
  <si>
    <t xml:space="preserve">after the tax sale  occurred are not reflected in this spreadsheet.    </t>
  </si>
  <si>
    <t>* The summary submitted by the county clerk did not provide separate totals for penalty and interest.  The amounts shown as being distributed to each taxing district include the pro rata share of penalty and interest.</t>
  </si>
  <si>
    <t xml:space="preserve">Please note that the totals shown in this spreadsheet represent a reasonable approximation of the total amount paid by third party purchasers at the tax sales held by the county clerks for the 2009 certificates of </t>
  </si>
  <si>
    <t>Breckinridge*</t>
  </si>
  <si>
    <t>Cumberland*</t>
  </si>
  <si>
    <t>Floyd*</t>
  </si>
  <si>
    <t>Hopkins*</t>
  </si>
  <si>
    <t>Owen*</t>
  </si>
  <si>
    <t>Receipts From Third Party Purchasers - Tax Sales of 2010 Certificates of Delinquency</t>
  </si>
  <si>
    <t xml:space="preserve">Woodford </t>
  </si>
  <si>
    <t>Owen</t>
  </si>
  <si>
    <t>Total Tax</t>
  </si>
  <si>
    <t>Hopkins</t>
  </si>
  <si>
    <t>Receipts From Third Party Purchasers - Tax Sales of 2011 Certificates of Delinquency</t>
  </si>
  <si>
    <t>Soil  Conserv</t>
  </si>
  <si>
    <t>Fiscal Court</t>
  </si>
  <si>
    <t>Sheriff Fees</t>
  </si>
  <si>
    <t>Co Atty Fees</t>
  </si>
  <si>
    <t>Co Clerk Fees</t>
  </si>
  <si>
    <t>Number of Bills Purchased</t>
  </si>
  <si>
    <t>Cumberland</t>
  </si>
  <si>
    <t>Floyd</t>
  </si>
  <si>
    <t xml:space="preserve">Please note that the totals shown in this spreadsheet represent a reasonable approximation of the total amount paid by third party purchasers at the tax sales held by the county clerks for the 2010 certificates of </t>
  </si>
  <si>
    <t>Daviess *</t>
  </si>
  <si>
    <t>Jefferson *</t>
  </si>
  <si>
    <t xml:space="preserve">Please note that the totals shown in this spreadsheet represent a reasonable approximation of the total amount paid by third party purchasers at the tax sales held by the county clerks for the 2011 certificates of </t>
  </si>
  <si>
    <t>NOTE: County Totals will be updated as information is received from County Clerks.</t>
  </si>
  <si>
    <t>Todd*</t>
  </si>
  <si>
    <t>Receipts From Third Party Purchasers - Tax Sales of 2012 Certificates of Delinquency</t>
  </si>
  <si>
    <t>Breckinridge</t>
  </si>
  <si>
    <t xml:space="preserve">Daviess </t>
  </si>
  <si>
    <t xml:space="preserve">Jefferson </t>
  </si>
  <si>
    <t>The amounts shown as being distributed to each taxing district include the pro rata share of penalty and interest.</t>
  </si>
  <si>
    <t>Receipts From Third Party Purchasers - Tax Sales of 2013 Certificates of Delinquency</t>
  </si>
  <si>
    <t>Receipts From Third Party Purchasers - Tax Sales of 2014 Certificates of Delinquency</t>
  </si>
  <si>
    <t>Total Tax Penalty &amp; Interest</t>
  </si>
  <si>
    <t>Grand Total Received</t>
  </si>
  <si>
    <t xml:space="preserve"> </t>
  </si>
  <si>
    <t>Receipts From Third Party Purchasers - Tax Sales of 2015 Certificates of Delinquency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</si>
</sst>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quot;$&quot;#,##0.00"/>
  </numFmts>
  <fonts count="9"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0"/>
      <color theme="1"/>
      <name val="Arial"/>
      <family val="2"/>
    </font>
    <font>
      <b/>
      <sz val="10"/>
      <color theme="1"/>
      <name val="Arial"/>
      <family val="2"/>
    </font>
    <font>
      <b/>
      <sz val="18"/>
      <color theme="1"/>
      <name val="Arial"/>
      <family val="2"/>
    </font>
    <font>
      <b/>
      <sz val="11"/>
      <color theme="1"/>
      <name val="Calibri"/>
      <family val="2"/>
      <scheme val="minor"/>
    </font>
    <font>
      <sz val="11"/>
      <color indexed="8"/>
      <name val="Calibri"/>
      <family val="2"/>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9">
    <xf numFmtId="0" fontId="0" fillId="0" borderId="0" xfId="0"/>
    <xf numFmtId="0" fontId="2" fillId="0" borderId="0" xfId="0" applyFont="1"/>
    <xf numFmtId="0" fontId="3" fillId="0" borderId="0" xfId="0" applyFont="1"/>
    <xf numFmtId="0" fontId="4" fillId="0" borderId="0" xfId="0" applyFont="1"/>
    <xf numFmtId="0" fontId="5" fillId="0" borderId="0" xfId="0" applyFont="1" applyAlignment="1">
      <alignment horizontal="center"/>
    </xf>
    <xf numFmtId="0" fontId="5" fillId="0" borderId="0" xfId="0" applyFont="1"/>
    <xf numFmtId="0" fontId="5" fillId="0" borderId="0" xfId="0" applyFont="1" applyBorder="1" applyAlignment="1">
      <alignment horizontal="center"/>
    </xf>
    <xf numFmtId="0" fontId="5" fillId="0" borderId="1" xfId="0" applyFont="1" applyBorder="1"/>
    <xf numFmtId="0" fontId="5" fillId="0" borderId="1" xfId="0" applyFont="1" applyBorder="1" applyAlignment="1">
      <alignment horizontal="center"/>
    </xf>
    <xf numFmtId="44" fontId="4" fillId="0" borderId="0" xfId="2" applyNumberFormat="1" applyFont="1" applyAlignment="1"/>
    <xf numFmtId="44" fontId="4" fillId="0" borderId="0" xfId="2" applyFont="1" applyAlignment="1">
      <alignment horizontal="right"/>
    </xf>
    <xf numFmtId="44" fontId="4" fillId="0" borderId="0" xfId="2" applyFont="1"/>
    <xf numFmtId="43" fontId="4" fillId="0" borderId="0" xfId="0" applyNumberFormat="1" applyFont="1"/>
    <xf numFmtId="0" fontId="4" fillId="0" borderId="0" xfId="0" applyFont="1" applyAlignment="1">
      <alignment horizontal="right"/>
    </xf>
    <xf numFmtId="0" fontId="4" fillId="0" borderId="1" xfId="0" applyFont="1" applyBorder="1"/>
    <xf numFmtId="43" fontId="4" fillId="0" borderId="1" xfId="0" applyNumberFormat="1" applyFont="1" applyBorder="1"/>
    <xf numFmtId="164" fontId="4" fillId="0" borderId="0" xfId="1" applyNumberFormat="1" applyFont="1"/>
    <xf numFmtId="0" fontId="2" fillId="0" borderId="0" xfId="0" applyFont="1" applyAlignment="1">
      <alignment wrapText="1"/>
    </xf>
    <xf numFmtId="0" fontId="4" fillId="0" borderId="0" xfId="0" applyFont="1" applyAlignment="1">
      <alignment horizontal="center"/>
    </xf>
    <xf numFmtId="0" fontId="4" fillId="0" borderId="1" xfId="0" applyFont="1" applyBorder="1" applyAlignment="1">
      <alignment horizontal="center"/>
    </xf>
    <xf numFmtId="0" fontId="5" fillId="0" borderId="0" xfId="0" applyFont="1" applyAlignment="1">
      <alignment horizontal="right"/>
    </xf>
    <xf numFmtId="44" fontId="5" fillId="0" borderId="0" xfId="0" applyNumberFormat="1" applyFont="1" applyAlignment="1">
      <alignment horizontal="right"/>
    </xf>
    <xf numFmtId="44" fontId="5" fillId="0" borderId="0" xfId="0" applyNumberFormat="1" applyFont="1" applyBorder="1" applyAlignment="1">
      <alignment horizontal="right"/>
    </xf>
    <xf numFmtId="44" fontId="5" fillId="0" borderId="1" xfId="0" applyNumberFormat="1" applyFont="1" applyBorder="1" applyAlignment="1">
      <alignment horizontal="center"/>
    </xf>
    <xf numFmtId="3" fontId="4" fillId="0" borderId="0" xfId="1" applyNumberFormat="1" applyFont="1" applyAlignment="1">
      <alignment horizontal="center" vertical="center"/>
    </xf>
    <xf numFmtId="1" fontId="4" fillId="0" borderId="0" xfId="2" applyNumberFormat="1" applyFont="1" applyAlignment="1">
      <alignment horizontal="center"/>
    </xf>
    <xf numFmtId="0" fontId="5" fillId="0" borderId="1" xfId="0" applyFont="1" applyBorder="1" applyAlignment="1">
      <alignment horizontal="center" wrapText="1"/>
    </xf>
    <xf numFmtId="44" fontId="5" fillId="0" borderId="1" xfId="0" applyNumberFormat="1" applyFont="1" applyBorder="1" applyAlignment="1">
      <alignment horizontal="center" wrapText="1"/>
    </xf>
    <xf numFmtId="0" fontId="5" fillId="0" borderId="0" xfId="0" applyFont="1" applyAlignment="1">
      <alignment wrapText="1"/>
    </xf>
    <xf numFmtId="3" fontId="5" fillId="0" borderId="0" xfId="1" applyNumberFormat="1" applyFont="1" applyAlignment="1">
      <alignment horizontal="center" vertical="center"/>
    </xf>
    <xf numFmtId="44" fontId="5" fillId="0" borderId="0" xfId="2" applyFont="1"/>
    <xf numFmtId="14" fontId="7" fillId="0" borderId="0" xfId="0" applyNumberFormat="1" applyFont="1" applyAlignment="1">
      <alignment horizontal="left"/>
    </xf>
    <xf numFmtId="0" fontId="6" fillId="0" borderId="0" xfId="0" applyFont="1" applyAlignment="1">
      <alignment horizontal="center"/>
    </xf>
    <xf numFmtId="0" fontId="6" fillId="0" borderId="0" xfId="0" applyFont="1" applyAlignment="1">
      <alignment horizontal="center"/>
    </xf>
    <xf numFmtId="0" fontId="5" fillId="0" borderId="0" xfId="0" applyFont="1" applyFill="1"/>
    <xf numFmtId="0" fontId="4" fillId="0" borderId="0" xfId="0" applyFont="1" applyFill="1" applyAlignment="1">
      <alignment horizontal="center"/>
    </xf>
    <xf numFmtId="43" fontId="4" fillId="0" borderId="0" xfId="0" applyNumberFormat="1" applyFont="1" applyFill="1"/>
    <xf numFmtId="0" fontId="0" fillId="0" borderId="0" xfId="0" applyFill="1"/>
    <xf numFmtId="43" fontId="4" fillId="0" borderId="0" xfId="0" applyNumberFormat="1" applyFont="1" applyAlignment="1">
      <alignment horizontal="right"/>
    </xf>
    <xf numFmtId="0" fontId="3" fillId="0" borderId="0" xfId="0" applyFont="1" applyAlignment="1"/>
    <xf numFmtId="0" fontId="0" fillId="0" borderId="0" xfId="0" applyAlignment="1">
      <alignment horizontal="center"/>
    </xf>
    <xf numFmtId="44" fontId="4" fillId="0" borderId="0" xfId="0" applyNumberFormat="1" applyFont="1" applyAlignment="1">
      <alignment horizontal="center"/>
    </xf>
    <xf numFmtId="165" fontId="0" fillId="0" borderId="0" xfId="0" applyNumberFormat="1"/>
    <xf numFmtId="0" fontId="3" fillId="0" borderId="0" xfId="0" applyFont="1" applyAlignment="1">
      <alignment horizontal="center"/>
    </xf>
    <xf numFmtId="0" fontId="2" fillId="0" borderId="0" xfId="0" applyFont="1" applyAlignment="1">
      <alignment horizontal="center"/>
    </xf>
    <xf numFmtId="0" fontId="3" fillId="0" borderId="0" xfId="0" applyFont="1" applyAlignment="1">
      <alignment horizontal="left"/>
    </xf>
    <xf numFmtId="0" fontId="2" fillId="0" borderId="0" xfId="0" applyFont="1" applyAlignment="1">
      <alignment horizontal="left"/>
    </xf>
    <xf numFmtId="165" fontId="0" fillId="0" borderId="0" xfId="0" applyNumberFormat="1" applyFill="1"/>
    <xf numFmtId="44" fontId="5" fillId="0" borderId="1" xfId="0" applyNumberFormat="1" applyFont="1" applyFill="1" applyBorder="1" applyAlignment="1">
      <alignment horizontal="center"/>
    </xf>
    <xf numFmtId="0" fontId="5" fillId="0" borderId="1" xfId="0" applyFont="1" applyFill="1" applyBorder="1" applyAlignment="1">
      <alignment horizontal="center" wrapText="1"/>
    </xf>
    <xf numFmtId="0" fontId="0" fillId="0" borderId="0" xfId="0" applyFill="1" applyAlignment="1">
      <alignment horizontal="center"/>
    </xf>
    <xf numFmtId="43" fontId="8" fillId="0" borderId="0" xfId="1" applyFont="1" applyFill="1" applyBorder="1" applyAlignment="1" applyProtection="1"/>
    <xf numFmtId="0" fontId="8" fillId="0" borderId="0" xfId="0" applyNumberFormat="1" applyFont="1" applyFill="1" applyBorder="1" applyAlignment="1" applyProtection="1"/>
    <xf numFmtId="2" fontId="8" fillId="0" borderId="0" xfId="0" applyNumberFormat="1" applyFont="1" applyFill="1" applyBorder="1" applyAlignment="1" applyProtection="1"/>
    <xf numFmtId="0" fontId="0" fillId="2" borderId="0" xfId="0" applyFill="1" applyAlignment="1">
      <alignment horizontal="center"/>
    </xf>
    <xf numFmtId="0" fontId="0" fillId="0" borderId="1" xfId="0" applyBorder="1" applyAlignment="1">
      <alignment horizontal="center"/>
    </xf>
    <xf numFmtId="165" fontId="0" fillId="0" borderId="1" xfId="0" applyNumberFormat="1" applyBorder="1"/>
    <xf numFmtId="0" fontId="5" fillId="0" borderId="2" xfId="0" applyFont="1" applyBorder="1"/>
    <xf numFmtId="3" fontId="5" fillId="0" borderId="2" xfId="1" applyNumberFormat="1" applyFont="1" applyBorder="1" applyAlignment="1">
      <alignment horizontal="center" vertical="center"/>
    </xf>
    <xf numFmtId="44" fontId="5" fillId="0" borderId="2" xfId="2" applyFont="1" applyBorder="1"/>
    <xf numFmtId="0" fontId="0" fillId="0" borderId="0" xfId="0"/>
    <xf numFmtId="0" fontId="0" fillId="0" borderId="0" xfId="0"/>
    <xf numFmtId="0" fontId="5" fillId="3" borderId="0" xfId="0" applyFont="1" applyFill="1"/>
    <xf numFmtId="0" fontId="0" fillId="3" borderId="0" xfId="0" applyFill="1" applyAlignment="1">
      <alignment horizontal="center"/>
    </xf>
    <xf numFmtId="165" fontId="0" fillId="3" borderId="0" xfId="0" applyNumberFormat="1" applyFill="1"/>
    <xf numFmtId="0" fontId="0" fillId="3" borderId="0" xfId="0" applyFill="1"/>
    <xf numFmtId="2" fontId="0" fillId="0" borderId="0" xfId="0" applyNumberFormat="1" applyFill="1"/>
    <xf numFmtId="0" fontId="6" fillId="0" borderId="0" xfId="0" applyFont="1" applyAlignment="1">
      <alignment horizontal="center"/>
    </xf>
    <xf numFmtId="0" fontId="3" fillId="0" borderId="0" xfId="0" applyFont="1" applyAlignment="1">
      <alignment horizontal="left"/>
    </xf>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6"/>
  <sheetViews>
    <sheetView topLeftCell="J115" workbookViewId="0">
      <selection activeCell="R126" sqref="R126"/>
    </sheetView>
  </sheetViews>
  <sheetFormatPr defaultRowHeight="15" x14ac:dyDescent="0.25"/>
  <cols>
    <col min="1" max="1" width="14.42578125" customWidth="1"/>
    <col min="2" max="2" width="15" customWidth="1"/>
    <col min="3" max="3" width="14" customWidth="1"/>
    <col min="4" max="4" width="13.5703125" customWidth="1"/>
    <col min="5" max="5" width="14.5703125" customWidth="1"/>
    <col min="6" max="6" width="12.140625" customWidth="1"/>
    <col min="7" max="7" width="12.85546875" customWidth="1"/>
    <col min="8" max="8" width="12.5703125" customWidth="1"/>
    <col min="9" max="9" width="11.85546875" customWidth="1"/>
    <col min="10" max="10" width="12.28515625" customWidth="1"/>
    <col min="11" max="11" width="12.7109375" customWidth="1"/>
    <col min="12" max="12" width="13.85546875" customWidth="1"/>
    <col min="13" max="13" width="15.42578125" customWidth="1"/>
    <col min="14" max="14" width="13.7109375" customWidth="1"/>
    <col min="15" max="15" width="14.140625" customWidth="1"/>
    <col min="16" max="16" width="12.5703125" customWidth="1"/>
    <col min="17" max="17" width="14.7109375" customWidth="1"/>
    <col min="18" max="18" width="14.28515625" customWidth="1"/>
    <col min="19" max="19" width="13.7109375" customWidth="1"/>
    <col min="20" max="20" width="15.28515625" customWidth="1"/>
  </cols>
  <sheetData>
    <row r="1" spans="1:20" ht="23.25" x14ac:dyDescent="0.35">
      <c r="A1" s="67" t="s">
        <v>142</v>
      </c>
      <c r="B1" s="67"/>
      <c r="C1" s="67"/>
      <c r="D1" s="67"/>
      <c r="E1" s="67"/>
      <c r="F1" s="67"/>
      <c r="G1" s="67"/>
      <c r="H1" s="67"/>
      <c r="I1" s="67"/>
      <c r="J1" s="67"/>
      <c r="K1" s="67"/>
      <c r="L1" s="67"/>
      <c r="M1" s="67"/>
      <c r="N1" s="67"/>
      <c r="O1" s="67"/>
      <c r="P1" s="67"/>
      <c r="Q1" s="67"/>
      <c r="R1" s="67"/>
      <c r="S1" s="67"/>
      <c r="T1" s="67"/>
    </row>
    <row r="3" spans="1:20" x14ac:dyDescent="0.25">
      <c r="A3" s="3"/>
      <c r="B3" s="4" t="s">
        <v>1</v>
      </c>
      <c r="C3" s="3"/>
      <c r="D3" s="3"/>
      <c r="E3" s="3"/>
      <c r="F3" s="3"/>
      <c r="G3" s="3"/>
      <c r="H3" s="3"/>
      <c r="I3" s="3"/>
      <c r="J3" s="3"/>
      <c r="K3" s="3"/>
      <c r="L3" s="5" t="s">
        <v>11</v>
      </c>
      <c r="M3" s="4" t="s">
        <v>13</v>
      </c>
      <c r="N3" s="3"/>
      <c r="O3" s="3"/>
      <c r="P3" s="4" t="s">
        <v>16</v>
      </c>
      <c r="Q3" s="6" t="s">
        <v>19</v>
      </c>
      <c r="R3" s="4" t="s">
        <v>21</v>
      </c>
      <c r="S3" s="4" t="s">
        <v>22</v>
      </c>
      <c r="T3" s="4" t="s">
        <v>23</v>
      </c>
    </row>
    <row r="4" spans="1:20" x14ac:dyDescent="0.25">
      <c r="A4" s="7" t="s">
        <v>0</v>
      </c>
      <c r="B4" s="7" t="s">
        <v>2</v>
      </c>
      <c r="C4" s="8" t="s">
        <v>3</v>
      </c>
      <c r="D4" s="8" t="s">
        <v>4</v>
      </c>
      <c r="E4" s="8" t="s">
        <v>5</v>
      </c>
      <c r="F4" s="8" t="s">
        <v>6</v>
      </c>
      <c r="G4" s="8" t="s">
        <v>7</v>
      </c>
      <c r="H4" s="8" t="s">
        <v>8</v>
      </c>
      <c r="I4" s="8" t="s">
        <v>9</v>
      </c>
      <c r="J4" s="8" t="s">
        <v>26</v>
      </c>
      <c r="K4" s="8" t="s">
        <v>10</v>
      </c>
      <c r="L4" s="8" t="s">
        <v>12</v>
      </c>
      <c r="M4" s="8" t="s">
        <v>14</v>
      </c>
      <c r="N4" s="8" t="s">
        <v>15</v>
      </c>
      <c r="O4" s="8" t="s">
        <v>18</v>
      </c>
      <c r="P4" s="8" t="s">
        <v>17</v>
      </c>
      <c r="Q4" s="8" t="s">
        <v>20</v>
      </c>
      <c r="R4" s="8" t="s">
        <v>20</v>
      </c>
      <c r="S4" s="8" t="s">
        <v>20</v>
      </c>
      <c r="T4" s="8" t="s">
        <v>24</v>
      </c>
    </row>
    <row r="5" spans="1:20" x14ac:dyDescent="0.25">
      <c r="A5" s="5" t="s">
        <v>25</v>
      </c>
      <c r="B5" s="3">
        <v>59</v>
      </c>
      <c r="C5" s="9">
        <v>2965.58</v>
      </c>
      <c r="D5" s="10">
        <v>2557.09</v>
      </c>
      <c r="E5" s="11">
        <v>9960.4</v>
      </c>
      <c r="F5" s="11">
        <v>1047.2</v>
      </c>
      <c r="G5" s="11">
        <v>608.85</v>
      </c>
      <c r="H5" s="11">
        <v>730.59</v>
      </c>
      <c r="I5" s="11">
        <v>365.32</v>
      </c>
      <c r="J5" s="11">
        <v>925.41</v>
      </c>
      <c r="K5" s="11">
        <v>7</v>
      </c>
      <c r="L5" s="11"/>
      <c r="M5" s="11">
        <f t="shared" ref="M5:M69" si="0">SUM(C5:L5)</f>
        <v>19167.439999999999</v>
      </c>
      <c r="N5" s="11">
        <v>1917.39</v>
      </c>
      <c r="O5" s="11">
        <v>1203.32</v>
      </c>
      <c r="P5" s="11"/>
      <c r="Q5" s="11">
        <v>2974.89</v>
      </c>
      <c r="R5" s="11">
        <v>4458.67</v>
      </c>
      <c r="S5" s="11">
        <v>3350.35</v>
      </c>
      <c r="T5" s="11">
        <f t="shared" ref="T5:T69" si="1">SUM(M5:S5)</f>
        <v>33072.06</v>
      </c>
    </row>
    <row r="6" spans="1:20" x14ac:dyDescent="0.25">
      <c r="A6" s="5" t="s">
        <v>27</v>
      </c>
      <c r="B6" s="3">
        <v>91</v>
      </c>
      <c r="C6" s="12">
        <v>6555.24</v>
      </c>
      <c r="D6" s="12">
        <v>5037.97</v>
      </c>
      <c r="E6" s="12">
        <v>28128.67</v>
      </c>
      <c r="F6" s="12">
        <v>4828.08</v>
      </c>
      <c r="G6" s="12">
        <v>1994.19</v>
      </c>
      <c r="H6" s="12">
        <v>1574.37</v>
      </c>
      <c r="I6" s="12">
        <v>1041.28</v>
      </c>
      <c r="J6" s="12">
        <v>5104.4399999999996</v>
      </c>
      <c r="K6" s="12">
        <v>1739.99</v>
      </c>
      <c r="L6" s="12"/>
      <c r="M6" s="12">
        <f t="shared" si="0"/>
        <v>56004.23</v>
      </c>
      <c r="N6" s="12">
        <v>5595.19</v>
      </c>
      <c r="O6" s="12">
        <v>3499.13</v>
      </c>
      <c r="P6" s="12">
        <v>364</v>
      </c>
      <c r="Q6" s="12">
        <v>8381.3700000000008</v>
      </c>
      <c r="R6" s="12">
        <v>12635.01</v>
      </c>
      <c r="S6" s="12">
        <v>7880.54</v>
      </c>
      <c r="T6" s="12">
        <f t="shared" si="1"/>
        <v>94359.469999999987</v>
      </c>
    </row>
    <row r="7" spans="1:20" x14ac:dyDescent="0.25">
      <c r="A7" s="5" t="s">
        <v>28</v>
      </c>
      <c r="B7" s="3">
        <v>163</v>
      </c>
      <c r="C7" s="12">
        <v>20858.38</v>
      </c>
      <c r="D7" s="12">
        <v>20516.38</v>
      </c>
      <c r="E7" s="12">
        <v>94375.46</v>
      </c>
      <c r="F7" s="12">
        <v>15045.34</v>
      </c>
      <c r="G7" s="12">
        <v>5149.1000000000004</v>
      </c>
      <c r="H7" s="12">
        <v>2749.04</v>
      </c>
      <c r="I7" s="12"/>
      <c r="J7" s="12"/>
      <c r="K7" s="12">
        <v>6389.32</v>
      </c>
      <c r="L7" s="12"/>
      <c r="M7" s="12">
        <f t="shared" si="0"/>
        <v>165083.02000000002</v>
      </c>
      <c r="N7" s="12">
        <v>16504.990000000002</v>
      </c>
      <c r="O7" s="12">
        <v>9835.0300000000007</v>
      </c>
      <c r="P7" s="12">
        <v>1141</v>
      </c>
      <c r="Q7" s="12">
        <v>24407.34</v>
      </c>
      <c r="R7" s="12">
        <v>38754.910000000003</v>
      </c>
      <c r="S7" s="12">
        <v>21659.62</v>
      </c>
      <c r="T7" s="12">
        <f t="shared" si="1"/>
        <v>277385.91000000003</v>
      </c>
    </row>
    <row r="8" spans="1:20" x14ac:dyDescent="0.25">
      <c r="A8" s="5" t="s">
        <v>29</v>
      </c>
      <c r="B8" s="3">
        <v>18</v>
      </c>
      <c r="C8" s="12">
        <v>1056.5</v>
      </c>
      <c r="D8" s="12">
        <v>1602.22</v>
      </c>
      <c r="E8" s="12">
        <v>4295.6400000000003</v>
      </c>
      <c r="F8" s="12"/>
      <c r="G8" s="12">
        <v>259.82</v>
      </c>
      <c r="H8" s="12">
        <v>259.82</v>
      </c>
      <c r="I8" s="12">
        <v>138.56</v>
      </c>
      <c r="J8" s="12"/>
      <c r="K8" s="12">
        <v>0.28000000000000003</v>
      </c>
      <c r="L8" s="12"/>
      <c r="M8" s="12">
        <f t="shared" si="0"/>
        <v>7612.84</v>
      </c>
      <c r="N8" s="12">
        <v>761.31</v>
      </c>
      <c r="O8" s="12">
        <v>476.87</v>
      </c>
      <c r="P8" s="12"/>
      <c r="Q8" s="12">
        <v>1162.8</v>
      </c>
      <c r="R8" s="12">
        <v>1770.23</v>
      </c>
      <c r="S8" s="12">
        <v>1227.0899999999999</v>
      </c>
      <c r="T8" s="12">
        <f t="shared" si="1"/>
        <v>13011.14</v>
      </c>
    </row>
    <row r="9" spans="1:20" x14ac:dyDescent="0.25">
      <c r="A9" s="5" t="s">
        <v>30</v>
      </c>
      <c r="B9" s="3">
        <v>162</v>
      </c>
      <c r="C9" s="12">
        <v>7313.36</v>
      </c>
      <c r="D9" s="12">
        <v>7584.43</v>
      </c>
      <c r="E9" s="12">
        <v>38110.120000000003</v>
      </c>
      <c r="F9" s="12">
        <v>1624.33</v>
      </c>
      <c r="G9" s="12"/>
      <c r="H9" s="12">
        <v>899.12</v>
      </c>
      <c r="I9" s="12"/>
      <c r="J9" s="12"/>
      <c r="K9" s="12"/>
      <c r="L9" s="12">
        <v>1283.74</v>
      </c>
      <c r="M9" s="12">
        <f t="shared" si="0"/>
        <v>56815.100000000006</v>
      </c>
      <c r="N9" s="12">
        <v>5792.94</v>
      </c>
      <c r="O9" s="12">
        <v>3325.75</v>
      </c>
      <c r="P9" s="12">
        <v>579</v>
      </c>
      <c r="Q9" s="12">
        <v>8428.8799999999992</v>
      </c>
      <c r="R9" s="12">
        <v>13778.75</v>
      </c>
      <c r="S9" s="12">
        <v>7863.09</v>
      </c>
      <c r="T9" s="12">
        <f t="shared" si="1"/>
        <v>96583.510000000009</v>
      </c>
    </row>
    <row r="10" spans="1:20" x14ac:dyDescent="0.25">
      <c r="A10" s="5" t="s">
        <v>31</v>
      </c>
      <c r="B10" s="3">
        <v>75</v>
      </c>
      <c r="C10" s="12">
        <v>3627.2</v>
      </c>
      <c r="D10" s="12">
        <v>3092.02</v>
      </c>
      <c r="E10" s="12">
        <v>11059.95</v>
      </c>
      <c r="F10" s="12">
        <v>2348.77</v>
      </c>
      <c r="G10" s="12">
        <v>1932.59</v>
      </c>
      <c r="H10" s="12">
        <v>1367.63</v>
      </c>
      <c r="I10" s="12">
        <v>505.43</v>
      </c>
      <c r="J10" s="12">
        <v>1962.25</v>
      </c>
      <c r="K10" s="12">
        <v>1916.06</v>
      </c>
      <c r="L10" s="12"/>
      <c r="M10" s="12">
        <f t="shared" si="0"/>
        <v>27811.9</v>
      </c>
      <c r="N10" s="12">
        <v>2781.68</v>
      </c>
      <c r="O10" s="12">
        <v>1422.43</v>
      </c>
      <c r="P10" s="12">
        <v>750</v>
      </c>
      <c r="Q10" s="12">
        <v>4212.6099999999997</v>
      </c>
      <c r="R10" s="12">
        <v>6404.16</v>
      </c>
      <c r="S10" s="12">
        <v>4327.0200000000004</v>
      </c>
      <c r="T10" s="12">
        <f t="shared" si="1"/>
        <v>47709.8</v>
      </c>
    </row>
    <row r="11" spans="1:20" x14ac:dyDescent="0.25">
      <c r="A11" s="5" t="s">
        <v>32</v>
      </c>
      <c r="B11" s="3">
        <v>134</v>
      </c>
      <c r="C11" s="12">
        <v>8622.8700000000008</v>
      </c>
      <c r="D11" s="12">
        <v>7985.26</v>
      </c>
      <c r="E11" s="12">
        <v>11256.62</v>
      </c>
      <c r="F11" s="12">
        <v>4522.6000000000004</v>
      </c>
      <c r="G11" s="12">
        <v>2756.01</v>
      </c>
      <c r="H11" s="12"/>
      <c r="I11" s="12"/>
      <c r="J11" s="12"/>
      <c r="K11" s="12">
        <v>4.72</v>
      </c>
      <c r="L11" s="12">
        <v>2049.3200000000002</v>
      </c>
      <c r="M11" s="12">
        <f t="shared" si="0"/>
        <v>37197.4</v>
      </c>
      <c r="N11" s="12">
        <v>3719.58</v>
      </c>
      <c r="O11" s="12">
        <v>1863.64</v>
      </c>
      <c r="P11" s="12">
        <v>1876</v>
      </c>
      <c r="Q11" s="12">
        <v>5675.77</v>
      </c>
      <c r="R11" s="12">
        <v>8635.81</v>
      </c>
      <c r="S11" s="12">
        <v>6287.89</v>
      </c>
      <c r="T11" s="12">
        <f t="shared" si="1"/>
        <v>65256.09</v>
      </c>
    </row>
    <row r="12" spans="1:20" x14ac:dyDescent="0.25">
      <c r="A12" s="5" t="s">
        <v>33</v>
      </c>
      <c r="B12" s="3">
        <v>256</v>
      </c>
      <c r="C12" s="12">
        <v>60355.77</v>
      </c>
      <c r="D12" s="12">
        <v>50144.81</v>
      </c>
      <c r="E12" s="12">
        <v>281288.71000000002</v>
      </c>
      <c r="F12" s="12">
        <v>24181.79</v>
      </c>
      <c r="G12" s="12">
        <v>9189.24</v>
      </c>
      <c r="H12" s="12">
        <v>7736.5</v>
      </c>
      <c r="I12" s="12"/>
      <c r="J12" s="12">
        <v>5674.24</v>
      </c>
      <c r="K12" s="12">
        <v>44215.75</v>
      </c>
      <c r="L12" s="12"/>
      <c r="M12" s="12">
        <f t="shared" si="0"/>
        <v>482786.81</v>
      </c>
      <c r="N12" s="12">
        <v>48278.8</v>
      </c>
      <c r="O12" s="12">
        <v>23898.01</v>
      </c>
      <c r="P12" s="12">
        <v>1536</v>
      </c>
      <c r="Q12" s="12">
        <v>66624.740000000005</v>
      </c>
      <c r="R12" s="12">
        <v>111041.24</v>
      </c>
      <c r="S12" s="12">
        <v>58900.14</v>
      </c>
      <c r="T12" s="12">
        <f t="shared" si="1"/>
        <v>793065.74</v>
      </c>
    </row>
    <row r="13" spans="1:20" x14ac:dyDescent="0.25">
      <c r="A13" s="5" t="s">
        <v>34</v>
      </c>
      <c r="B13" s="3">
        <v>80</v>
      </c>
      <c r="C13" s="12">
        <v>8090.42</v>
      </c>
      <c r="D13" s="12">
        <v>8156.74</v>
      </c>
      <c r="E13" s="12">
        <v>20243.669999999998</v>
      </c>
      <c r="F13" s="12">
        <v>4642.04</v>
      </c>
      <c r="G13" s="12">
        <v>2453.67</v>
      </c>
      <c r="H13" s="12">
        <v>1260.01</v>
      </c>
      <c r="I13" s="12">
        <v>464.23</v>
      </c>
      <c r="J13" s="12"/>
      <c r="K13" s="12"/>
      <c r="L13" s="12"/>
      <c r="M13" s="12">
        <f t="shared" si="0"/>
        <v>45310.780000000006</v>
      </c>
      <c r="N13" s="12">
        <v>4531.1099999999997</v>
      </c>
      <c r="O13" s="12">
        <v>2257.75</v>
      </c>
      <c r="P13" s="12"/>
      <c r="Q13" s="12">
        <v>6603.46</v>
      </c>
      <c r="R13" s="12">
        <v>10810.34</v>
      </c>
      <c r="S13" s="12">
        <v>6889.96</v>
      </c>
      <c r="T13" s="12">
        <f t="shared" si="1"/>
        <v>76403.400000000009</v>
      </c>
    </row>
    <row r="14" spans="1:20" x14ac:dyDescent="0.25">
      <c r="A14" s="5" t="s">
        <v>35</v>
      </c>
      <c r="B14" s="3">
        <v>352</v>
      </c>
      <c r="C14" s="12">
        <v>20222.39</v>
      </c>
      <c r="D14" s="12">
        <v>28676.17</v>
      </c>
      <c r="E14" s="12">
        <v>82733.3</v>
      </c>
      <c r="F14" s="12">
        <v>23046.86</v>
      </c>
      <c r="G14" s="12">
        <v>6629.65</v>
      </c>
      <c r="H14" s="12">
        <v>6629.65</v>
      </c>
      <c r="I14" s="12"/>
      <c r="J14" s="12">
        <v>11611.69</v>
      </c>
      <c r="K14" s="12">
        <v>16593.7</v>
      </c>
      <c r="L14" s="12"/>
      <c r="M14" s="12">
        <f t="shared" si="0"/>
        <v>196143.40999999997</v>
      </c>
      <c r="N14" s="12">
        <v>19614.349999999999</v>
      </c>
      <c r="O14" s="12">
        <v>12237.39</v>
      </c>
      <c r="P14" s="12"/>
      <c r="Q14" s="12">
        <v>28990</v>
      </c>
      <c r="R14" s="12">
        <v>46303.03</v>
      </c>
      <c r="S14" s="12">
        <v>28079.52</v>
      </c>
      <c r="T14" s="12">
        <f t="shared" si="1"/>
        <v>331367.69999999995</v>
      </c>
    </row>
    <row r="15" spans="1:20" x14ac:dyDescent="0.25">
      <c r="A15" s="5" t="s">
        <v>36</v>
      </c>
      <c r="B15" s="3">
        <v>117</v>
      </c>
      <c r="C15" s="12">
        <v>11350.54</v>
      </c>
      <c r="D15" s="12">
        <v>5023.97</v>
      </c>
      <c r="E15" s="12">
        <v>13907.56</v>
      </c>
      <c r="F15" s="12">
        <v>6233.51</v>
      </c>
      <c r="G15" s="12">
        <v>2232.86</v>
      </c>
      <c r="H15" s="12">
        <v>2884.16</v>
      </c>
      <c r="I15" s="12"/>
      <c r="J15" s="12"/>
      <c r="K15" s="12">
        <v>1809.74</v>
      </c>
      <c r="L15" s="12">
        <v>8847.35</v>
      </c>
      <c r="M15" s="12">
        <f t="shared" si="0"/>
        <v>52289.69</v>
      </c>
      <c r="N15" s="12">
        <v>5229.08</v>
      </c>
      <c r="O15" s="12">
        <v>1613.07</v>
      </c>
      <c r="P15" s="12">
        <v>1989</v>
      </c>
      <c r="Q15" s="12">
        <v>7745.26</v>
      </c>
      <c r="R15" s="12">
        <v>11826.39</v>
      </c>
      <c r="S15" s="12">
        <v>7668.24</v>
      </c>
      <c r="T15" s="12">
        <f t="shared" si="1"/>
        <v>88360.73000000001</v>
      </c>
    </row>
    <row r="16" spans="1:20" x14ac:dyDescent="0.25">
      <c r="A16" s="5" t="s">
        <v>37</v>
      </c>
      <c r="B16" s="3">
        <v>31</v>
      </c>
      <c r="C16" s="12">
        <v>1438.12</v>
      </c>
      <c r="D16" s="12">
        <v>4750.53</v>
      </c>
      <c r="E16" s="12">
        <v>4712.66</v>
      </c>
      <c r="F16" s="12">
        <v>1108.06</v>
      </c>
      <c r="G16" s="12">
        <v>389.04</v>
      </c>
      <c r="H16" s="12">
        <v>707.27</v>
      </c>
      <c r="I16" s="12">
        <v>235.76</v>
      </c>
      <c r="J16" s="12">
        <v>836.97</v>
      </c>
      <c r="K16" s="12"/>
      <c r="L16" s="12"/>
      <c r="M16" s="12">
        <f t="shared" si="0"/>
        <v>14178.41</v>
      </c>
      <c r="N16" s="12">
        <v>1417.84</v>
      </c>
      <c r="O16" s="12">
        <v>887.6</v>
      </c>
      <c r="P16" s="12">
        <v>310</v>
      </c>
      <c r="Q16" s="12">
        <v>2155.41</v>
      </c>
      <c r="R16" s="12">
        <v>3296.81</v>
      </c>
      <c r="S16" s="12">
        <v>3233.35</v>
      </c>
      <c r="T16" s="12">
        <f t="shared" si="1"/>
        <v>25479.42</v>
      </c>
    </row>
    <row r="17" spans="1:20" x14ac:dyDescent="0.25">
      <c r="A17" s="5" t="s">
        <v>38</v>
      </c>
      <c r="B17" s="3">
        <v>348</v>
      </c>
      <c r="C17" s="12">
        <v>12032.7</v>
      </c>
      <c r="D17" s="12">
        <v>9094.3700000000008</v>
      </c>
      <c r="E17" s="12">
        <v>33586.050000000003</v>
      </c>
      <c r="F17" s="12">
        <v>6523.51</v>
      </c>
      <c r="G17" s="12">
        <v>7878.27</v>
      </c>
      <c r="H17" s="12">
        <v>6225.31</v>
      </c>
      <c r="I17" s="12">
        <v>1815.79</v>
      </c>
      <c r="J17" s="12"/>
      <c r="K17" s="12">
        <v>136.88</v>
      </c>
      <c r="L17" s="12"/>
      <c r="M17" s="12">
        <f t="shared" si="0"/>
        <v>77292.88</v>
      </c>
      <c r="N17" s="12">
        <v>7650.64</v>
      </c>
      <c r="O17" s="12">
        <v>5199.01</v>
      </c>
      <c r="P17" s="12">
        <v>1428</v>
      </c>
      <c r="Q17" s="12">
        <v>11852.74</v>
      </c>
      <c r="R17" s="12">
        <v>18103.810000000001</v>
      </c>
      <c r="S17" s="12">
        <v>14183.93</v>
      </c>
      <c r="T17" s="12">
        <f t="shared" si="1"/>
        <v>135711.01</v>
      </c>
    </row>
    <row r="18" spans="1:20" x14ac:dyDescent="0.25">
      <c r="A18" s="5" t="s">
        <v>149</v>
      </c>
      <c r="B18" s="13" t="s">
        <v>39</v>
      </c>
      <c r="C18" s="12">
        <v>10480.4</v>
      </c>
      <c r="D18" s="12">
        <v>10528.46</v>
      </c>
      <c r="E18" s="12">
        <v>40754.720000000001</v>
      </c>
      <c r="F18" s="12">
        <v>5487.22</v>
      </c>
      <c r="G18" s="12">
        <v>2563.88</v>
      </c>
      <c r="H18" s="12">
        <v>3260.92</v>
      </c>
      <c r="I18" s="12">
        <v>851.1</v>
      </c>
      <c r="J18" s="12"/>
      <c r="K18" s="12">
        <v>17.27</v>
      </c>
      <c r="L18" s="12">
        <v>1455.28</v>
      </c>
      <c r="M18" s="12">
        <f t="shared" si="0"/>
        <v>75399.250000000015</v>
      </c>
      <c r="N18" s="12"/>
      <c r="O18" s="12"/>
      <c r="P18" s="12">
        <v>564</v>
      </c>
      <c r="Q18" s="12">
        <v>9863.57</v>
      </c>
      <c r="R18" s="12">
        <v>15307.84</v>
      </c>
      <c r="S18" s="12">
        <v>9534.92</v>
      </c>
      <c r="T18" s="12">
        <f t="shared" si="1"/>
        <v>110669.58</v>
      </c>
    </row>
    <row r="19" spans="1:20" x14ac:dyDescent="0.25">
      <c r="A19" s="5" t="s">
        <v>40</v>
      </c>
      <c r="B19" s="3">
        <v>389</v>
      </c>
      <c r="C19" s="12">
        <v>56652.31</v>
      </c>
      <c r="D19" s="12">
        <v>43182.78</v>
      </c>
      <c r="E19" s="12">
        <v>245609.04</v>
      </c>
      <c r="F19" s="12">
        <v>29238.9</v>
      </c>
      <c r="G19" s="12">
        <v>11143.12</v>
      </c>
      <c r="H19" s="12">
        <v>4782.09</v>
      </c>
      <c r="I19" s="12"/>
      <c r="J19" s="12"/>
      <c r="K19" s="12">
        <v>31136.16</v>
      </c>
      <c r="L19" s="12"/>
      <c r="M19" s="12">
        <f t="shared" si="0"/>
        <v>421744.4</v>
      </c>
      <c r="N19" s="12">
        <v>42174.44</v>
      </c>
      <c r="O19" s="12">
        <v>20925.09</v>
      </c>
      <c r="P19" s="12">
        <v>2723</v>
      </c>
      <c r="Q19" s="12">
        <v>59208.51</v>
      </c>
      <c r="R19" s="12">
        <v>97746.79</v>
      </c>
      <c r="S19" s="12">
        <v>54319.39</v>
      </c>
      <c r="T19" s="12">
        <f t="shared" si="1"/>
        <v>698841.62000000011</v>
      </c>
    </row>
    <row r="20" spans="1:20" x14ac:dyDescent="0.25">
      <c r="A20" s="5" t="s">
        <v>41</v>
      </c>
      <c r="B20" s="3">
        <v>63</v>
      </c>
      <c r="C20" s="12">
        <v>2062.09</v>
      </c>
      <c r="D20" s="12">
        <v>1434.77</v>
      </c>
      <c r="E20" s="12">
        <v>6289.68</v>
      </c>
      <c r="F20" s="12">
        <v>1040.1099999999999</v>
      </c>
      <c r="G20" s="12">
        <v>375.49</v>
      </c>
      <c r="H20" s="12">
        <v>800.49</v>
      </c>
      <c r="I20" s="12"/>
      <c r="J20" s="12">
        <v>1668.34</v>
      </c>
      <c r="K20" s="12">
        <v>110.39</v>
      </c>
      <c r="L20" s="12"/>
      <c r="M20" s="12">
        <f t="shared" si="0"/>
        <v>13781.36</v>
      </c>
      <c r="N20" s="12">
        <v>1306</v>
      </c>
      <c r="O20" s="12">
        <v>197.05</v>
      </c>
      <c r="P20" s="12">
        <v>550</v>
      </c>
      <c r="Q20" s="12">
        <v>2072.6</v>
      </c>
      <c r="R20" s="12">
        <v>3262.83</v>
      </c>
      <c r="S20" s="12">
        <v>2198.39</v>
      </c>
      <c r="T20" s="12">
        <f t="shared" si="1"/>
        <v>23368.229999999996</v>
      </c>
    </row>
    <row r="21" spans="1:20" x14ac:dyDescent="0.25">
      <c r="A21" s="5" t="s">
        <v>42</v>
      </c>
      <c r="B21" s="3">
        <v>59</v>
      </c>
      <c r="C21" s="12">
        <v>2723.13</v>
      </c>
      <c r="D21" s="12">
        <v>2228.92</v>
      </c>
      <c r="E21" s="12">
        <v>7540.36</v>
      </c>
      <c r="F21" s="12">
        <v>889.4</v>
      </c>
      <c r="G21" s="12">
        <v>665.38</v>
      </c>
      <c r="H21" s="12">
        <v>667.42</v>
      </c>
      <c r="I21" s="12"/>
      <c r="J21" s="12"/>
      <c r="K21" s="12"/>
      <c r="L21" s="12">
        <v>1235.5899999999999</v>
      </c>
      <c r="M21" s="12">
        <f t="shared" si="0"/>
        <v>15950.199999999999</v>
      </c>
      <c r="N21" s="12">
        <v>1595.02</v>
      </c>
      <c r="O21" s="12">
        <v>1167.46</v>
      </c>
      <c r="P21" s="12">
        <v>297</v>
      </c>
      <c r="Q21" s="12">
        <v>2362.37</v>
      </c>
      <c r="R21" s="12">
        <v>3860.37</v>
      </c>
      <c r="S21" s="12">
        <v>2461.19</v>
      </c>
      <c r="T21" s="12">
        <f t="shared" si="1"/>
        <v>27693.609999999993</v>
      </c>
    </row>
    <row r="22" spans="1:20" x14ac:dyDescent="0.25">
      <c r="A22" s="5" t="s">
        <v>43</v>
      </c>
      <c r="B22" s="3">
        <v>112</v>
      </c>
      <c r="C22" s="12">
        <v>8793.75</v>
      </c>
      <c r="D22" s="12">
        <v>8577.5499999999993</v>
      </c>
      <c r="E22" s="12">
        <v>19029.89</v>
      </c>
      <c r="F22" s="12">
        <v>2811.16</v>
      </c>
      <c r="G22" s="12">
        <v>2018.2</v>
      </c>
      <c r="H22" s="12">
        <v>1081.31</v>
      </c>
      <c r="I22" s="12">
        <v>360.53</v>
      </c>
      <c r="J22" s="12"/>
      <c r="K22" s="12">
        <v>2319.13</v>
      </c>
      <c r="L22" s="12"/>
      <c r="M22" s="12">
        <f t="shared" si="0"/>
        <v>44991.519999999997</v>
      </c>
      <c r="N22" s="12">
        <v>4499.3100000000004</v>
      </c>
      <c r="O22" s="12">
        <v>2813.26</v>
      </c>
      <c r="P22" s="12"/>
      <c r="Q22" s="12">
        <v>6774.96</v>
      </c>
      <c r="R22" s="12">
        <v>10460.799999999999</v>
      </c>
      <c r="S22" s="12">
        <v>6891.69</v>
      </c>
      <c r="T22" s="12">
        <f t="shared" si="1"/>
        <v>76431.539999999994</v>
      </c>
    </row>
    <row r="23" spans="1:20" x14ac:dyDescent="0.25">
      <c r="A23" s="5" t="s">
        <v>44</v>
      </c>
      <c r="B23" s="3">
        <v>424</v>
      </c>
      <c r="C23" s="12">
        <v>49576.03</v>
      </c>
      <c r="D23" s="12">
        <v>49767.14</v>
      </c>
      <c r="E23" s="12">
        <v>126216.77</v>
      </c>
      <c r="F23" s="12">
        <v>27257.89</v>
      </c>
      <c r="G23" s="12">
        <v>8787.9599999999991</v>
      </c>
      <c r="H23" s="12"/>
      <c r="I23" s="12">
        <v>1111.3599999999999</v>
      </c>
      <c r="J23" s="12"/>
      <c r="K23" s="12">
        <v>17234.18</v>
      </c>
      <c r="L23" s="12">
        <v>9238.7099999999991</v>
      </c>
      <c r="M23" s="12">
        <f t="shared" si="0"/>
        <v>289190.04000000004</v>
      </c>
      <c r="N23" s="12">
        <v>28919.02</v>
      </c>
      <c r="O23" s="12">
        <v>14390.36</v>
      </c>
      <c r="P23" s="12">
        <v>4664</v>
      </c>
      <c r="Q23" s="12">
        <v>42277.06</v>
      </c>
      <c r="R23" s="12">
        <v>67338.83</v>
      </c>
      <c r="S23" s="12">
        <v>49378.9</v>
      </c>
      <c r="T23" s="12">
        <f t="shared" si="1"/>
        <v>496158.21000000008</v>
      </c>
    </row>
    <row r="24" spans="1:20" x14ac:dyDescent="0.25">
      <c r="A24" s="5" t="s">
        <v>45</v>
      </c>
      <c r="B24" s="3">
        <v>14</v>
      </c>
      <c r="C24" s="12">
        <v>608.04</v>
      </c>
      <c r="D24" s="12">
        <v>757.56</v>
      </c>
      <c r="E24" s="12">
        <v>2018.54</v>
      </c>
      <c r="F24" s="12"/>
      <c r="G24" s="12">
        <v>159.47999999999999</v>
      </c>
      <c r="H24" s="12">
        <v>309</v>
      </c>
      <c r="I24" s="12">
        <v>99.68</v>
      </c>
      <c r="J24" s="12">
        <v>363.85</v>
      </c>
      <c r="K24" s="12"/>
      <c r="L24" s="12"/>
      <c r="M24" s="12">
        <f t="shared" si="0"/>
        <v>4316.1499999999996</v>
      </c>
      <c r="N24" s="12">
        <v>431.64</v>
      </c>
      <c r="O24" s="12">
        <v>270.89</v>
      </c>
      <c r="P24" s="12">
        <v>182</v>
      </c>
      <c r="Q24" s="12">
        <v>669.93</v>
      </c>
      <c r="R24" s="12">
        <v>1003.72</v>
      </c>
      <c r="S24" s="12">
        <v>711.88</v>
      </c>
      <c r="T24" s="12">
        <f t="shared" si="1"/>
        <v>7586.2100000000009</v>
      </c>
    </row>
    <row r="25" spans="1:20" x14ac:dyDescent="0.25">
      <c r="A25" s="5" t="s">
        <v>46</v>
      </c>
      <c r="B25" s="3">
        <v>39</v>
      </c>
      <c r="C25" s="12">
        <v>3131.14</v>
      </c>
      <c r="D25" s="12">
        <v>1154.95</v>
      </c>
      <c r="E25" s="12">
        <v>13294.46</v>
      </c>
      <c r="F25" s="12">
        <v>2309.85</v>
      </c>
      <c r="G25" s="12">
        <v>1385.91</v>
      </c>
      <c r="H25" s="12"/>
      <c r="I25" s="12"/>
      <c r="J25" s="12"/>
      <c r="K25" s="12">
        <v>1350.5</v>
      </c>
      <c r="L25" s="12">
        <v>624</v>
      </c>
      <c r="M25" s="12">
        <f t="shared" si="0"/>
        <v>23250.809999999998</v>
      </c>
      <c r="N25" s="12">
        <v>2325.11</v>
      </c>
      <c r="O25" s="12">
        <v>1449.43</v>
      </c>
      <c r="P25" s="12">
        <v>468</v>
      </c>
      <c r="Q25" s="12">
        <v>3413.33</v>
      </c>
      <c r="R25" s="12">
        <v>5426.48</v>
      </c>
      <c r="S25" s="12">
        <v>3287.55</v>
      </c>
      <c r="T25" s="12">
        <f t="shared" si="1"/>
        <v>39620.710000000006</v>
      </c>
    </row>
    <row r="26" spans="1:20" x14ac:dyDescent="0.25">
      <c r="A26" s="5" t="s">
        <v>47</v>
      </c>
      <c r="B26" s="3">
        <v>358</v>
      </c>
      <c r="C26" s="12">
        <v>14062.94</v>
      </c>
      <c r="D26" s="12">
        <v>8356.7999999999993</v>
      </c>
      <c r="E26" s="12">
        <v>46110.52</v>
      </c>
      <c r="F26" s="12"/>
      <c r="G26" s="12">
        <v>3432.54</v>
      </c>
      <c r="H26" s="12">
        <v>4125.42</v>
      </c>
      <c r="I26" s="12"/>
      <c r="J26" s="12">
        <v>8695.75</v>
      </c>
      <c r="K26" s="12">
        <v>49.13</v>
      </c>
      <c r="L26" s="12"/>
      <c r="M26" s="12">
        <f t="shared" si="0"/>
        <v>84833.099999999991</v>
      </c>
      <c r="N26" s="12">
        <v>8361.31</v>
      </c>
      <c r="O26" s="12">
        <v>5275.9</v>
      </c>
      <c r="P26" s="12">
        <v>1925.95</v>
      </c>
      <c r="Q26" s="12">
        <v>12898.13</v>
      </c>
      <c r="R26" s="12">
        <v>19399.21</v>
      </c>
      <c r="S26" s="12">
        <v>12919.52</v>
      </c>
      <c r="T26" s="12">
        <f t="shared" si="1"/>
        <v>145613.11999999997</v>
      </c>
    </row>
    <row r="27" spans="1:20" x14ac:dyDescent="0.25">
      <c r="A27" s="5" t="s">
        <v>48</v>
      </c>
      <c r="B27" s="3">
        <v>97</v>
      </c>
      <c r="C27" s="12">
        <v>3255.94</v>
      </c>
      <c r="D27" s="12">
        <v>1763.78</v>
      </c>
      <c r="E27" s="12">
        <v>10541.92</v>
      </c>
      <c r="F27" s="12">
        <v>2135.1999999999998</v>
      </c>
      <c r="G27" s="12">
        <v>934.32</v>
      </c>
      <c r="H27" s="12">
        <v>403.1</v>
      </c>
      <c r="I27" s="12">
        <v>373.62</v>
      </c>
      <c r="J27" s="12">
        <v>587.15</v>
      </c>
      <c r="K27" s="12"/>
      <c r="L27" s="12">
        <v>1627.95</v>
      </c>
      <c r="M27" s="12">
        <f t="shared" si="0"/>
        <v>21622.98</v>
      </c>
      <c r="N27" s="12">
        <v>2158.9699999999998</v>
      </c>
      <c r="O27" s="12">
        <v>1080.4100000000001</v>
      </c>
      <c r="P27" s="12">
        <v>1256</v>
      </c>
      <c r="Q27" s="12">
        <v>3371.3</v>
      </c>
      <c r="R27" s="12">
        <v>5167.3900000000003</v>
      </c>
      <c r="S27" s="12">
        <v>3931.76</v>
      </c>
      <c r="T27" s="12">
        <f t="shared" si="1"/>
        <v>38588.810000000005</v>
      </c>
    </row>
    <row r="28" spans="1:20" x14ac:dyDescent="0.25">
      <c r="A28" s="5" t="s">
        <v>49</v>
      </c>
      <c r="B28" s="3">
        <v>424</v>
      </c>
      <c r="C28" s="12">
        <v>32901.1</v>
      </c>
      <c r="D28" s="12">
        <v>44378.32</v>
      </c>
      <c r="E28" s="12">
        <v>99157.95</v>
      </c>
      <c r="F28" s="12"/>
      <c r="G28" s="12">
        <v>4850.07</v>
      </c>
      <c r="H28" s="12">
        <v>6243.78</v>
      </c>
      <c r="I28" s="12">
        <v>1059.25</v>
      </c>
      <c r="J28" s="12"/>
      <c r="K28" s="12">
        <v>683.43</v>
      </c>
      <c r="L28" s="12">
        <v>1112.6199999999999</v>
      </c>
      <c r="M28" s="12">
        <f t="shared" si="0"/>
        <v>190386.52</v>
      </c>
      <c r="N28" s="12">
        <v>19038.740000000002</v>
      </c>
      <c r="O28" s="12">
        <v>9550.94</v>
      </c>
      <c r="P28" s="12"/>
      <c r="Q28" s="12">
        <v>28465.81</v>
      </c>
      <c r="R28" s="12">
        <v>44497.13</v>
      </c>
      <c r="S28" s="12">
        <v>28072.02</v>
      </c>
      <c r="T28" s="12">
        <f t="shared" si="1"/>
        <v>320011.15999999997</v>
      </c>
    </row>
    <row r="29" spans="1:20" x14ac:dyDescent="0.25">
      <c r="A29" s="5" t="s">
        <v>50</v>
      </c>
      <c r="B29" s="3">
        <v>168</v>
      </c>
      <c r="C29" s="12">
        <v>17911.23</v>
      </c>
      <c r="D29" s="12">
        <v>12185.59</v>
      </c>
      <c r="E29" s="12">
        <v>69882.960000000006</v>
      </c>
      <c r="F29" s="12">
        <v>8808.7800000000007</v>
      </c>
      <c r="G29" s="12">
        <v>5872.49</v>
      </c>
      <c r="H29" s="12">
        <v>2936.26</v>
      </c>
      <c r="I29" s="12"/>
      <c r="J29" s="12"/>
      <c r="K29" s="12"/>
      <c r="L29" s="12"/>
      <c r="M29" s="12">
        <f t="shared" si="0"/>
        <v>117597.31</v>
      </c>
      <c r="N29" s="12">
        <v>11763.88</v>
      </c>
      <c r="O29" s="12">
        <v>7303.01</v>
      </c>
      <c r="P29" s="12">
        <v>840</v>
      </c>
      <c r="Q29" s="12">
        <v>16707.919999999998</v>
      </c>
      <c r="R29" s="12">
        <v>27406.01</v>
      </c>
      <c r="S29" s="12">
        <v>16186.08</v>
      </c>
      <c r="T29" s="12">
        <f t="shared" si="1"/>
        <v>197804.21</v>
      </c>
    </row>
    <row r="30" spans="1:20" x14ac:dyDescent="0.25">
      <c r="A30" s="5" t="s">
        <v>51</v>
      </c>
      <c r="B30" s="3">
        <v>156</v>
      </c>
      <c r="C30" s="12">
        <v>6651.34</v>
      </c>
      <c r="D30" s="12">
        <v>3871.02</v>
      </c>
      <c r="E30" s="12">
        <v>26659.93</v>
      </c>
      <c r="F30" s="12">
        <v>2943.94</v>
      </c>
      <c r="G30" s="12">
        <v>3271.14</v>
      </c>
      <c r="H30" s="12">
        <v>2180.7600000000002</v>
      </c>
      <c r="I30" s="12">
        <v>545.19000000000005</v>
      </c>
      <c r="J30" s="12"/>
      <c r="K30" s="12">
        <v>25.72</v>
      </c>
      <c r="L30" s="12"/>
      <c r="M30" s="12">
        <f t="shared" si="0"/>
        <v>46149.040000000008</v>
      </c>
      <c r="N30" s="12">
        <v>4614.9399999999996</v>
      </c>
      <c r="O30" s="12">
        <v>2898.26</v>
      </c>
      <c r="P30" s="12"/>
      <c r="Q30" s="12">
        <v>7154.88</v>
      </c>
      <c r="R30" s="12">
        <v>11149.17</v>
      </c>
      <c r="S30" s="12">
        <v>7539.18</v>
      </c>
      <c r="T30" s="12">
        <f t="shared" si="1"/>
        <v>79505.47</v>
      </c>
    </row>
    <row r="31" spans="1:20" x14ac:dyDescent="0.25">
      <c r="A31" s="5" t="s">
        <v>52</v>
      </c>
      <c r="B31" s="3">
        <v>30</v>
      </c>
      <c r="C31" s="12">
        <v>2856.41</v>
      </c>
      <c r="D31" s="12">
        <v>1311.13</v>
      </c>
      <c r="E31" s="12">
        <v>8943.82</v>
      </c>
      <c r="F31" s="12">
        <v>468.26</v>
      </c>
      <c r="G31" s="12">
        <v>585.34</v>
      </c>
      <c r="H31" s="12">
        <v>777.29</v>
      </c>
      <c r="I31" s="12">
        <v>344.2</v>
      </c>
      <c r="J31" s="12"/>
      <c r="K31" s="12">
        <v>2.1</v>
      </c>
      <c r="L31" s="12"/>
      <c r="M31" s="12">
        <f t="shared" si="0"/>
        <v>15288.550000000001</v>
      </c>
      <c r="N31" s="12">
        <v>1528.85</v>
      </c>
      <c r="O31" s="12">
        <v>963.98</v>
      </c>
      <c r="P31" s="12">
        <v>90</v>
      </c>
      <c r="Q31" s="12">
        <v>2371.89</v>
      </c>
      <c r="R31" s="12">
        <v>3586.29</v>
      </c>
      <c r="S31" s="12">
        <v>2078.1</v>
      </c>
      <c r="T31" s="12">
        <f t="shared" si="1"/>
        <v>25907.66</v>
      </c>
    </row>
    <row r="32" spans="1:20" x14ac:dyDescent="0.25">
      <c r="A32" s="5" t="s">
        <v>53</v>
      </c>
      <c r="B32" s="3">
        <v>41</v>
      </c>
      <c r="C32" s="12">
        <v>2293.91</v>
      </c>
      <c r="D32" s="12">
        <v>2256.3000000000002</v>
      </c>
      <c r="E32" s="12">
        <v>8310.7099999999991</v>
      </c>
      <c r="F32" s="12">
        <v>940.14</v>
      </c>
      <c r="G32" s="12">
        <v>376.05</v>
      </c>
      <c r="H32" s="12">
        <v>639.28</v>
      </c>
      <c r="I32" s="12"/>
      <c r="J32" s="12"/>
      <c r="K32" s="12">
        <v>15.78</v>
      </c>
      <c r="L32" s="12"/>
      <c r="M32" s="12">
        <f t="shared" si="0"/>
        <v>14832.169999999998</v>
      </c>
      <c r="N32" s="12">
        <v>1483.25</v>
      </c>
      <c r="O32" s="12">
        <v>930.98</v>
      </c>
      <c r="P32" s="12"/>
      <c r="Q32" s="12">
        <v>2303.16</v>
      </c>
      <c r="R32" s="12">
        <v>3490.37</v>
      </c>
      <c r="S32" s="12">
        <v>2380.7399999999998</v>
      </c>
      <c r="T32" s="12">
        <f t="shared" si="1"/>
        <v>25420.67</v>
      </c>
    </row>
    <row r="33" spans="1:20" x14ac:dyDescent="0.25">
      <c r="A33" s="5" t="s">
        <v>150</v>
      </c>
      <c r="B33" s="13" t="s">
        <v>39</v>
      </c>
      <c r="C33" s="12">
        <v>3479.17</v>
      </c>
      <c r="D33" s="12">
        <v>1320.57</v>
      </c>
      <c r="E33" s="12">
        <v>9158.2900000000009</v>
      </c>
      <c r="F33" s="12">
        <v>1757.52</v>
      </c>
      <c r="G33" s="12">
        <v>709.49</v>
      </c>
      <c r="H33" s="12">
        <v>1613.44</v>
      </c>
      <c r="I33" s="12">
        <v>732.48</v>
      </c>
      <c r="J33" s="12">
        <v>1403.04</v>
      </c>
      <c r="K33" s="12">
        <v>22.62</v>
      </c>
      <c r="L33" s="12"/>
      <c r="M33" s="12">
        <f t="shared" si="0"/>
        <v>20196.62</v>
      </c>
      <c r="N33" s="12"/>
      <c r="O33" s="12"/>
      <c r="P33" s="12"/>
      <c r="Q33" s="12">
        <v>2666.11</v>
      </c>
      <c r="R33" s="12">
        <v>4173.3500000000004</v>
      </c>
      <c r="S33" s="12">
        <v>3148.65</v>
      </c>
      <c r="T33" s="12">
        <f t="shared" si="1"/>
        <v>30184.730000000003</v>
      </c>
    </row>
    <row r="34" spans="1:20" x14ac:dyDescent="0.25">
      <c r="A34" s="5" t="s">
        <v>54</v>
      </c>
      <c r="B34" s="3">
        <v>465</v>
      </c>
      <c r="C34" s="12">
        <v>35090.11</v>
      </c>
      <c r="D34" s="12">
        <v>39116.730000000003</v>
      </c>
      <c r="E34" s="12">
        <v>98394.84</v>
      </c>
      <c r="F34" s="12">
        <v>16970.09</v>
      </c>
      <c r="G34" s="12">
        <v>10067.6</v>
      </c>
      <c r="H34" s="12">
        <v>2588.85</v>
      </c>
      <c r="I34" s="12"/>
      <c r="J34" s="12"/>
      <c r="K34" s="12"/>
      <c r="L34" s="12"/>
      <c r="M34" s="12">
        <f t="shared" si="0"/>
        <v>202228.22</v>
      </c>
      <c r="N34" s="12">
        <v>20558.2</v>
      </c>
      <c r="O34" s="12">
        <v>10237.950000000001</v>
      </c>
      <c r="P34" s="12"/>
      <c r="Q34" s="12">
        <v>29415.02</v>
      </c>
      <c r="R34" s="12">
        <v>48560.53</v>
      </c>
      <c r="S34" s="12">
        <v>36326.660000000003</v>
      </c>
      <c r="T34" s="12">
        <f t="shared" si="1"/>
        <v>347326.58000000007</v>
      </c>
    </row>
    <row r="35" spans="1:20" x14ac:dyDescent="0.25">
      <c r="A35" s="5" t="s">
        <v>55</v>
      </c>
      <c r="B35" s="3">
        <v>123</v>
      </c>
      <c r="C35" s="12">
        <v>4650.54</v>
      </c>
      <c r="D35" s="12">
        <v>4838.41</v>
      </c>
      <c r="E35" s="12">
        <v>14665.61</v>
      </c>
      <c r="F35" s="12">
        <v>1868.07</v>
      </c>
      <c r="G35" s="12"/>
      <c r="H35" s="12"/>
      <c r="I35" s="12"/>
      <c r="J35" s="12">
        <v>2552.52</v>
      </c>
      <c r="K35" s="12">
        <v>3383.09</v>
      </c>
      <c r="L35" s="12">
        <v>71.37</v>
      </c>
      <c r="M35" s="12">
        <f t="shared" si="0"/>
        <v>32029.61</v>
      </c>
      <c r="N35" s="12">
        <v>3148.37</v>
      </c>
      <c r="O35" s="12">
        <v>1186.51</v>
      </c>
      <c r="P35" s="12"/>
      <c r="Q35" s="12">
        <v>4866.22</v>
      </c>
      <c r="R35" s="12">
        <v>7311.93</v>
      </c>
      <c r="S35" s="12">
        <v>4824.41</v>
      </c>
      <c r="T35" s="12">
        <f t="shared" si="1"/>
        <v>53367.05</v>
      </c>
    </row>
    <row r="36" spans="1:20" x14ac:dyDescent="0.25">
      <c r="A36" s="5" t="s">
        <v>56</v>
      </c>
      <c r="B36" s="3">
        <v>67</v>
      </c>
      <c r="C36" s="12">
        <v>2086.79</v>
      </c>
      <c r="D36" s="12">
        <v>2045.51</v>
      </c>
      <c r="E36" s="12">
        <v>6906.18</v>
      </c>
      <c r="F36" s="12"/>
      <c r="G36" s="12">
        <v>513.13</v>
      </c>
      <c r="H36" s="12">
        <v>1094.73</v>
      </c>
      <c r="I36" s="12">
        <v>889.45</v>
      </c>
      <c r="J36" s="12">
        <v>1590.74</v>
      </c>
      <c r="K36" s="12">
        <v>31.5</v>
      </c>
      <c r="L36" s="12"/>
      <c r="M36" s="12">
        <f t="shared" si="0"/>
        <v>15158.029999999999</v>
      </c>
      <c r="N36" s="12">
        <v>1514.83</v>
      </c>
      <c r="O36" s="12">
        <v>1140.74</v>
      </c>
      <c r="P36" s="12"/>
      <c r="Q36" s="12">
        <v>2349.65</v>
      </c>
      <c r="R36" s="12">
        <v>2670.55</v>
      </c>
      <c r="S36" s="12">
        <v>2785.36</v>
      </c>
      <c r="T36" s="12">
        <f t="shared" si="1"/>
        <v>25619.160000000003</v>
      </c>
    </row>
    <row r="37" spans="1:20" x14ac:dyDescent="0.25">
      <c r="A37" s="5" t="s">
        <v>57</v>
      </c>
      <c r="B37" s="3">
        <v>112</v>
      </c>
      <c r="C37" s="12">
        <v>5945.97</v>
      </c>
      <c r="D37" s="12">
        <v>3752.82</v>
      </c>
      <c r="E37" s="12">
        <v>21785.65</v>
      </c>
      <c r="F37" s="12">
        <v>5604.88</v>
      </c>
      <c r="G37" s="12">
        <v>3899</v>
      </c>
      <c r="H37" s="12">
        <v>2680.64</v>
      </c>
      <c r="I37" s="12">
        <v>731.14</v>
      </c>
      <c r="J37" s="12">
        <v>4873.75</v>
      </c>
      <c r="K37" s="12">
        <v>24.15</v>
      </c>
      <c r="L37" s="12">
        <v>43.05</v>
      </c>
      <c r="M37" s="12">
        <f t="shared" si="0"/>
        <v>49341.05</v>
      </c>
      <c r="N37" s="12">
        <v>4934.09</v>
      </c>
      <c r="O37" s="12">
        <v>3093.71</v>
      </c>
      <c r="P37" s="12">
        <v>336</v>
      </c>
      <c r="Q37" s="12">
        <v>7598.87</v>
      </c>
      <c r="R37" s="12">
        <v>11697.52</v>
      </c>
      <c r="S37" s="12">
        <v>7416.76</v>
      </c>
      <c r="T37" s="12">
        <f t="shared" si="1"/>
        <v>84418</v>
      </c>
    </row>
    <row r="38" spans="1:20" x14ac:dyDescent="0.25">
      <c r="A38" s="5" t="s">
        <v>58</v>
      </c>
      <c r="B38" s="3">
        <v>1346</v>
      </c>
      <c r="C38" s="12">
        <v>242612.39</v>
      </c>
      <c r="D38" s="12">
        <v>158843.19</v>
      </c>
      <c r="E38" s="12">
        <v>1245733</v>
      </c>
      <c r="F38" s="12"/>
      <c r="G38" s="12">
        <v>55579.18</v>
      </c>
      <c r="H38" s="12">
        <v>6349.96</v>
      </c>
      <c r="I38" s="12">
        <v>793.2</v>
      </c>
      <c r="J38" s="12"/>
      <c r="K38" s="12"/>
      <c r="L38" s="12">
        <v>415038.83</v>
      </c>
      <c r="M38" s="12">
        <f t="shared" si="0"/>
        <v>2124949.75</v>
      </c>
      <c r="N38" s="12">
        <v>212495.57</v>
      </c>
      <c r="O38" s="12">
        <v>106232.54</v>
      </c>
      <c r="P38" s="12">
        <v>40413</v>
      </c>
      <c r="Q38" s="12">
        <v>274661.86</v>
      </c>
      <c r="R38" s="12">
        <v>491437.21</v>
      </c>
      <c r="S38" s="12">
        <v>264608.84000000003</v>
      </c>
      <c r="T38" s="12">
        <f t="shared" si="1"/>
        <v>3514798.7699999996</v>
      </c>
    </row>
    <row r="39" spans="1:20" x14ac:dyDescent="0.25">
      <c r="A39" s="5" t="s">
        <v>59</v>
      </c>
      <c r="B39" s="3">
        <v>66</v>
      </c>
      <c r="C39" s="12">
        <v>4604.79</v>
      </c>
      <c r="D39" s="12">
        <v>6265.5</v>
      </c>
      <c r="E39" s="12">
        <v>13248.13</v>
      </c>
      <c r="F39" s="12">
        <v>2377.87</v>
      </c>
      <c r="G39" s="12">
        <v>1698.51</v>
      </c>
      <c r="H39" s="12">
        <v>1283.3</v>
      </c>
      <c r="I39" s="12">
        <v>264.19</v>
      </c>
      <c r="J39" s="12">
        <v>1698.51</v>
      </c>
      <c r="K39" s="12">
        <v>7.38</v>
      </c>
      <c r="L39" s="12">
        <v>60.29</v>
      </c>
      <c r="M39" s="12">
        <f t="shared" si="0"/>
        <v>31508.469999999994</v>
      </c>
      <c r="N39" s="12">
        <v>3150.75</v>
      </c>
      <c r="O39" s="12">
        <v>1975.49</v>
      </c>
      <c r="P39" s="12">
        <v>792</v>
      </c>
      <c r="Q39" s="12">
        <v>4852</v>
      </c>
      <c r="R39" s="12">
        <v>7477.96</v>
      </c>
      <c r="S39" s="12">
        <v>4653.37</v>
      </c>
      <c r="T39" s="12">
        <f t="shared" si="1"/>
        <v>54410.039999999994</v>
      </c>
    </row>
    <row r="40" spans="1:20" x14ac:dyDescent="0.25">
      <c r="A40" s="5" t="s">
        <v>151</v>
      </c>
      <c r="B40" s="13" t="s">
        <v>39</v>
      </c>
      <c r="C40" s="12">
        <v>68617.23</v>
      </c>
      <c r="D40" s="12">
        <v>61979.64</v>
      </c>
      <c r="E40" s="12">
        <v>276407.67999999999</v>
      </c>
      <c r="F40" s="12">
        <v>26033.11</v>
      </c>
      <c r="G40" s="12">
        <v>20889.46</v>
      </c>
      <c r="H40" s="12">
        <v>9473.7999999999993</v>
      </c>
      <c r="I40" s="12">
        <v>4563.91</v>
      </c>
      <c r="J40" s="12"/>
      <c r="K40" s="12">
        <v>44145.01</v>
      </c>
      <c r="L40" s="12"/>
      <c r="M40" s="12">
        <f t="shared" si="0"/>
        <v>512109.83999999997</v>
      </c>
      <c r="N40" s="12"/>
      <c r="O40" s="12"/>
      <c r="P40" s="12"/>
      <c r="Q40" s="12">
        <v>62320.86</v>
      </c>
      <c r="R40" s="12">
        <v>97381</v>
      </c>
      <c r="S40" s="12">
        <v>55000</v>
      </c>
      <c r="T40" s="12">
        <f t="shared" si="1"/>
        <v>726811.7</v>
      </c>
    </row>
    <row r="41" spans="1:20" x14ac:dyDescent="0.25">
      <c r="A41" s="5" t="s">
        <v>60</v>
      </c>
      <c r="B41" s="3">
        <v>312</v>
      </c>
      <c r="C41" s="12">
        <v>39775.35</v>
      </c>
      <c r="D41" s="12">
        <v>48901.33</v>
      </c>
      <c r="E41" s="12">
        <v>159764.74</v>
      </c>
      <c r="F41" s="12">
        <v>30646.97</v>
      </c>
      <c r="G41" s="12">
        <v>13040.59</v>
      </c>
      <c r="H41" s="12"/>
      <c r="I41" s="12">
        <v>2608.02</v>
      </c>
      <c r="J41" s="12"/>
      <c r="K41" s="12"/>
      <c r="L41" s="12">
        <v>3912.28</v>
      </c>
      <c r="M41" s="12">
        <f t="shared" si="0"/>
        <v>298649.28000000009</v>
      </c>
      <c r="N41" s="12">
        <v>29864.959999999999</v>
      </c>
      <c r="O41" s="12">
        <v>14843.63</v>
      </c>
      <c r="P41" s="12">
        <v>1248</v>
      </c>
      <c r="Q41" s="12">
        <v>41875.800000000003</v>
      </c>
      <c r="R41" s="12">
        <v>69279.16</v>
      </c>
      <c r="S41" s="12">
        <v>39350.22</v>
      </c>
      <c r="T41" s="12">
        <f t="shared" si="1"/>
        <v>495111.05000000005</v>
      </c>
    </row>
    <row r="42" spans="1:20" x14ac:dyDescent="0.25">
      <c r="A42" s="5" t="s">
        <v>61</v>
      </c>
      <c r="B42" s="3">
        <v>62</v>
      </c>
      <c r="C42" s="12">
        <v>3041.64</v>
      </c>
      <c r="D42" s="12">
        <v>3315.93</v>
      </c>
      <c r="E42" s="12">
        <v>16423.18</v>
      </c>
      <c r="F42" s="12">
        <v>1844.94</v>
      </c>
      <c r="G42" s="12">
        <v>997.25</v>
      </c>
      <c r="H42" s="12">
        <v>1321.42</v>
      </c>
      <c r="I42" s="12">
        <v>623.36</v>
      </c>
      <c r="J42" s="12"/>
      <c r="K42" s="12"/>
      <c r="L42" s="12">
        <v>473.56</v>
      </c>
      <c r="M42" s="12">
        <f t="shared" si="0"/>
        <v>28041.280000000002</v>
      </c>
      <c r="N42" s="12">
        <v>2804.18</v>
      </c>
      <c r="O42" s="12">
        <v>1752.99</v>
      </c>
      <c r="P42" s="12"/>
      <c r="Q42" s="12">
        <v>4214.7299999999996</v>
      </c>
      <c r="R42" s="12">
        <v>6581.68</v>
      </c>
      <c r="S42" s="12">
        <v>3879.84</v>
      </c>
      <c r="T42" s="12">
        <f t="shared" si="1"/>
        <v>47274.700000000012</v>
      </c>
    </row>
    <row r="43" spans="1:20" x14ac:dyDescent="0.25">
      <c r="A43" s="5" t="s">
        <v>62</v>
      </c>
      <c r="B43" s="3">
        <v>49</v>
      </c>
      <c r="C43" s="12">
        <v>4250.54</v>
      </c>
      <c r="D43" s="12">
        <v>3135.66</v>
      </c>
      <c r="E43" s="12">
        <v>22263.21</v>
      </c>
      <c r="F43" s="12">
        <v>3518.93</v>
      </c>
      <c r="G43" s="12">
        <v>1916.31</v>
      </c>
      <c r="H43" s="12">
        <v>1637.5</v>
      </c>
      <c r="I43" s="12">
        <v>313.58</v>
      </c>
      <c r="J43" s="12"/>
      <c r="K43" s="12">
        <v>330.42</v>
      </c>
      <c r="L43" s="12">
        <v>2455.8000000000002</v>
      </c>
      <c r="M43" s="12">
        <f t="shared" si="0"/>
        <v>39821.949999999997</v>
      </c>
      <c r="N43" s="12">
        <v>3982.23</v>
      </c>
      <c r="O43" s="12">
        <v>1999.41</v>
      </c>
      <c r="P43" s="12">
        <v>294</v>
      </c>
      <c r="Q43" s="12">
        <v>6180.58</v>
      </c>
      <c r="R43" s="12">
        <v>9209.7900000000009</v>
      </c>
      <c r="S43" s="12">
        <v>5462.38</v>
      </c>
      <c r="T43" s="12">
        <f t="shared" si="1"/>
        <v>66950.340000000011</v>
      </c>
    </row>
    <row r="44" spans="1:20" x14ac:dyDescent="0.25">
      <c r="A44" s="5" t="s">
        <v>63</v>
      </c>
      <c r="B44" s="3">
        <v>97</v>
      </c>
      <c r="C44" s="12">
        <v>9248.2099999999991</v>
      </c>
      <c r="D44" s="12">
        <v>6072.36</v>
      </c>
      <c r="E44" s="12">
        <v>46620.13</v>
      </c>
      <c r="F44" s="12">
        <v>4446.25</v>
      </c>
      <c r="G44" s="12">
        <v>3032.2</v>
      </c>
      <c r="H44" s="12">
        <v>2837.15</v>
      </c>
      <c r="I44" s="12"/>
      <c r="J44" s="12"/>
      <c r="K44" s="12">
        <v>4486.8100000000004</v>
      </c>
      <c r="L44" s="12">
        <v>1412.25</v>
      </c>
      <c r="M44" s="12">
        <f t="shared" si="0"/>
        <v>78155.359999999986</v>
      </c>
      <c r="N44" s="12">
        <v>7815.65</v>
      </c>
      <c r="O44" s="12">
        <v>3911.82</v>
      </c>
      <c r="P44" s="12">
        <v>485</v>
      </c>
      <c r="Q44" s="12">
        <v>11824.24</v>
      </c>
      <c r="R44" s="12">
        <v>18170.669999999998</v>
      </c>
      <c r="S44" s="12">
        <v>10443.25</v>
      </c>
      <c r="T44" s="12">
        <f t="shared" si="1"/>
        <v>130805.98999999999</v>
      </c>
    </row>
    <row r="45" spans="1:20" x14ac:dyDescent="0.25">
      <c r="A45" s="5" t="s">
        <v>64</v>
      </c>
      <c r="B45" s="3">
        <v>82</v>
      </c>
      <c r="C45" s="12">
        <v>6558.68</v>
      </c>
      <c r="D45" s="12">
        <v>6524.78</v>
      </c>
      <c r="E45" s="12">
        <v>24905.79</v>
      </c>
      <c r="F45" s="12">
        <v>2940.15</v>
      </c>
      <c r="G45" s="12">
        <v>1268.69</v>
      </c>
      <c r="H45" s="12">
        <v>1292.78</v>
      </c>
      <c r="I45" s="12">
        <v>427.14</v>
      </c>
      <c r="J45" s="12"/>
      <c r="K45" s="12">
        <v>3</v>
      </c>
      <c r="L45" s="12">
        <v>589.08000000000004</v>
      </c>
      <c r="M45" s="12">
        <f t="shared" si="0"/>
        <v>44510.090000000004</v>
      </c>
      <c r="N45" s="12">
        <v>4451.6000000000004</v>
      </c>
      <c r="O45" s="12">
        <v>2767.75</v>
      </c>
      <c r="P45" s="12">
        <v>656</v>
      </c>
      <c r="Q45" s="12">
        <v>6497.94</v>
      </c>
      <c r="R45" s="12">
        <v>10510.9</v>
      </c>
      <c r="S45" s="12">
        <v>6397.47</v>
      </c>
      <c r="T45" s="12">
        <f t="shared" si="1"/>
        <v>75791.75</v>
      </c>
    </row>
    <row r="46" spans="1:20" x14ac:dyDescent="0.25">
      <c r="A46" s="5" t="s">
        <v>65</v>
      </c>
      <c r="B46" s="3">
        <v>152</v>
      </c>
      <c r="C46" s="12">
        <v>7443.08</v>
      </c>
      <c r="D46" s="12">
        <v>5553.28</v>
      </c>
      <c r="E46" s="12">
        <v>13620.67</v>
      </c>
      <c r="F46" s="12">
        <v>3167.97</v>
      </c>
      <c r="G46" s="12">
        <v>2135.88</v>
      </c>
      <c r="H46" s="12"/>
      <c r="I46" s="12"/>
      <c r="J46" s="12"/>
      <c r="K46" s="12">
        <v>3237.67</v>
      </c>
      <c r="L46" s="12">
        <v>1281.53</v>
      </c>
      <c r="M46" s="12">
        <f t="shared" si="0"/>
        <v>36440.080000000002</v>
      </c>
      <c r="N46" s="12">
        <v>3644.1</v>
      </c>
      <c r="O46" s="12">
        <v>2805.29</v>
      </c>
      <c r="P46" s="12">
        <v>606</v>
      </c>
      <c r="Q46" s="12">
        <v>5504.08</v>
      </c>
      <c r="R46" s="12">
        <v>8727.9500000000007</v>
      </c>
      <c r="S46" s="12">
        <v>6538.92</v>
      </c>
      <c r="T46" s="12">
        <f t="shared" si="1"/>
        <v>64266.42</v>
      </c>
    </row>
    <row r="47" spans="1:20" x14ac:dyDescent="0.25">
      <c r="A47" s="5" t="s">
        <v>66</v>
      </c>
      <c r="B47" s="3">
        <v>168</v>
      </c>
      <c r="C47" s="12">
        <v>12096.19</v>
      </c>
      <c r="D47" s="12">
        <v>6345.54</v>
      </c>
      <c r="E47" s="12">
        <v>40849.35</v>
      </c>
      <c r="F47" s="12">
        <v>4759.13</v>
      </c>
      <c r="G47" s="12">
        <v>2577.87</v>
      </c>
      <c r="H47" s="12">
        <v>2478.81</v>
      </c>
      <c r="I47" s="12"/>
      <c r="J47" s="12"/>
      <c r="K47" s="12">
        <v>316.26</v>
      </c>
      <c r="L47" s="12">
        <v>3974.02</v>
      </c>
      <c r="M47" s="12">
        <f t="shared" si="0"/>
        <v>73397.17</v>
      </c>
      <c r="N47" s="12">
        <v>7339.8</v>
      </c>
      <c r="O47" s="12">
        <v>3685.08</v>
      </c>
      <c r="P47" s="12">
        <v>338</v>
      </c>
      <c r="Q47" s="12">
        <v>11392.9</v>
      </c>
      <c r="R47" s="12">
        <v>17206.41</v>
      </c>
      <c r="S47" s="12">
        <v>10977.3</v>
      </c>
      <c r="T47" s="12">
        <f t="shared" si="1"/>
        <v>124336.66</v>
      </c>
    </row>
    <row r="48" spans="1:20" x14ac:dyDescent="0.25">
      <c r="A48" s="5" t="s">
        <v>67</v>
      </c>
      <c r="B48" s="3">
        <v>12</v>
      </c>
      <c r="C48" s="12">
        <v>678.93</v>
      </c>
      <c r="D48" s="12">
        <v>572.91</v>
      </c>
      <c r="E48" s="12">
        <v>2395.2600000000002</v>
      </c>
      <c r="F48" s="12">
        <v>297.77999999999997</v>
      </c>
      <c r="G48" s="12">
        <v>190.98</v>
      </c>
      <c r="H48" s="12">
        <v>202.61</v>
      </c>
      <c r="I48" s="12"/>
      <c r="J48" s="12">
        <v>534.79</v>
      </c>
      <c r="K48" s="12"/>
      <c r="L48" s="12"/>
      <c r="M48" s="12">
        <f t="shared" si="0"/>
        <v>4873.2599999999993</v>
      </c>
      <c r="N48" s="12">
        <v>487.33</v>
      </c>
      <c r="O48" s="12">
        <v>251.24</v>
      </c>
      <c r="P48" s="12">
        <v>165</v>
      </c>
      <c r="Q48" s="12">
        <v>755.69</v>
      </c>
      <c r="R48" s="12">
        <v>1122.3699999999999</v>
      </c>
      <c r="S48" s="12">
        <v>681.18</v>
      </c>
      <c r="T48" s="12">
        <f t="shared" si="1"/>
        <v>8336.0699999999979</v>
      </c>
    </row>
    <row r="49" spans="1:20" x14ac:dyDescent="0.25">
      <c r="A49" s="5" t="s">
        <v>68</v>
      </c>
      <c r="B49" s="3">
        <v>434</v>
      </c>
      <c r="C49" s="12">
        <v>27505.69</v>
      </c>
      <c r="D49" s="12">
        <v>39771.800000000003</v>
      </c>
      <c r="E49" s="12">
        <v>147278.37</v>
      </c>
      <c r="F49" s="12">
        <v>20229.650000000001</v>
      </c>
      <c r="G49" s="12">
        <v>9002.5400000000009</v>
      </c>
      <c r="H49" s="12">
        <v>3737.94</v>
      </c>
      <c r="I49" s="12"/>
      <c r="J49" s="12">
        <v>13006.5</v>
      </c>
      <c r="K49" s="12">
        <v>9694.4699999999993</v>
      </c>
      <c r="L49" s="12">
        <v>5710.16</v>
      </c>
      <c r="M49" s="12">
        <f t="shared" si="0"/>
        <v>275937.11999999994</v>
      </c>
      <c r="N49" s="12">
        <v>27593.72</v>
      </c>
      <c r="O49" s="12">
        <v>18428.36</v>
      </c>
      <c r="P49" s="12">
        <v>1740</v>
      </c>
      <c r="Q49" s="12">
        <v>39793.56</v>
      </c>
      <c r="R49" s="12">
        <v>63622.92</v>
      </c>
      <c r="S49" s="12">
        <v>39235.03</v>
      </c>
      <c r="T49" s="12">
        <f t="shared" si="1"/>
        <v>466350.70999999996</v>
      </c>
    </row>
    <row r="50" spans="1:20" x14ac:dyDescent="0.25">
      <c r="A50" s="5" t="s">
        <v>69</v>
      </c>
      <c r="B50" s="3">
        <v>41</v>
      </c>
      <c r="C50" s="12">
        <v>1809.63</v>
      </c>
      <c r="D50" s="12">
        <v>830.63</v>
      </c>
      <c r="E50" s="12">
        <v>8247.1299999999992</v>
      </c>
      <c r="F50" s="12">
        <v>1275.6199999999999</v>
      </c>
      <c r="G50" s="12">
        <v>407.98</v>
      </c>
      <c r="H50" s="12"/>
      <c r="I50" s="12"/>
      <c r="J50" s="12"/>
      <c r="K50" s="12">
        <v>9.57</v>
      </c>
      <c r="L50" s="12"/>
      <c r="M50" s="12">
        <f t="shared" si="0"/>
        <v>12580.559999999998</v>
      </c>
      <c r="N50" s="12">
        <v>1258.08</v>
      </c>
      <c r="O50" s="12">
        <v>778.01</v>
      </c>
      <c r="P50" s="12">
        <v>410</v>
      </c>
      <c r="Q50" s="12">
        <v>1722.29</v>
      </c>
      <c r="R50" s="12">
        <v>2923.35</v>
      </c>
      <c r="S50" s="12">
        <v>2076.64</v>
      </c>
      <c r="T50" s="12">
        <f t="shared" si="1"/>
        <v>21748.929999999997</v>
      </c>
    </row>
    <row r="51" spans="1:20" x14ac:dyDescent="0.25">
      <c r="A51" s="5" t="s">
        <v>70</v>
      </c>
      <c r="B51" s="3">
        <v>630</v>
      </c>
      <c r="C51" s="12">
        <v>62434.18</v>
      </c>
      <c r="D51" s="12">
        <v>54200.27</v>
      </c>
      <c r="E51" s="12">
        <v>264851.84999999998</v>
      </c>
      <c r="F51" s="12"/>
      <c r="G51" s="12">
        <v>9911.86</v>
      </c>
      <c r="H51" s="12">
        <v>5473.5</v>
      </c>
      <c r="I51" s="12">
        <v>732.93</v>
      </c>
      <c r="J51" s="12"/>
      <c r="K51" s="12">
        <v>6829.92</v>
      </c>
      <c r="L51" s="12">
        <v>2396.6999999999998</v>
      </c>
      <c r="M51" s="12">
        <f t="shared" si="0"/>
        <v>406831.20999999996</v>
      </c>
      <c r="N51" s="12">
        <v>39846.44</v>
      </c>
      <c r="O51" s="12">
        <v>25419.7</v>
      </c>
      <c r="P51" s="12">
        <v>3732</v>
      </c>
      <c r="Q51" s="12">
        <v>54688.29</v>
      </c>
      <c r="R51" s="12">
        <v>92692.32</v>
      </c>
      <c r="S51" s="12">
        <v>56300.04</v>
      </c>
      <c r="T51" s="12">
        <f t="shared" si="1"/>
        <v>679510</v>
      </c>
    </row>
    <row r="52" spans="1:20" x14ac:dyDescent="0.25">
      <c r="A52" s="5" t="s">
        <v>71</v>
      </c>
      <c r="B52" s="3">
        <v>668</v>
      </c>
      <c r="C52" s="12">
        <v>21796.14</v>
      </c>
      <c r="D52" s="12">
        <v>54015.62</v>
      </c>
      <c r="E52" s="12">
        <v>56173.09</v>
      </c>
      <c r="F52" s="12">
        <v>10828.72</v>
      </c>
      <c r="G52" s="12">
        <v>7112.28</v>
      </c>
      <c r="H52" s="12">
        <v>11572.95</v>
      </c>
      <c r="I52" s="12">
        <v>1603.59</v>
      </c>
      <c r="J52" s="12"/>
      <c r="K52" s="12">
        <v>39.35</v>
      </c>
      <c r="L52" s="12"/>
      <c r="M52" s="12">
        <f t="shared" si="0"/>
        <v>163141.74000000002</v>
      </c>
      <c r="N52" s="12">
        <v>16324.37</v>
      </c>
      <c r="O52" s="12">
        <v>9807.33</v>
      </c>
      <c r="P52" s="12"/>
      <c r="Q52" s="12">
        <v>25754.85</v>
      </c>
      <c r="R52" s="12">
        <v>39948.480000000003</v>
      </c>
      <c r="S52" s="12">
        <v>34631.120000000003</v>
      </c>
      <c r="T52" s="12">
        <f t="shared" si="1"/>
        <v>289607.89</v>
      </c>
    </row>
    <row r="53" spans="1:20" x14ac:dyDescent="0.25">
      <c r="A53" s="5" t="s">
        <v>72</v>
      </c>
      <c r="B53" s="3">
        <v>114</v>
      </c>
      <c r="C53" s="12">
        <v>8642.91</v>
      </c>
      <c r="D53" s="12">
        <v>7013.51</v>
      </c>
      <c r="E53" s="12">
        <v>28394.07</v>
      </c>
      <c r="F53" s="12">
        <v>4463.17</v>
      </c>
      <c r="G53" s="12">
        <v>4250.63</v>
      </c>
      <c r="H53" s="12">
        <v>2621.25</v>
      </c>
      <c r="I53" s="12">
        <v>566.71</v>
      </c>
      <c r="J53" s="12"/>
      <c r="K53" s="12">
        <v>3108.8</v>
      </c>
      <c r="L53" s="12"/>
      <c r="M53" s="12">
        <f t="shared" si="0"/>
        <v>59061.049999999996</v>
      </c>
      <c r="N53" s="12">
        <v>5906.21</v>
      </c>
      <c r="O53" s="12">
        <v>2942.69</v>
      </c>
      <c r="P53" s="12">
        <v>798</v>
      </c>
      <c r="Q53" s="12">
        <v>8600.17</v>
      </c>
      <c r="R53" s="12">
        <v>13809.97</v>
      </c>
      <c r="S53" s="12">
        <v>8501.0499999999993</v>
      </c>
      <c r="T53" s="12">
        <f t="shared" si="1"/>
        <v>99619.14</v>
      </c>
    </row>
    <row r="54" spans="1:20" x14ac:dyDescent="0.25">
      <c r="A54" s="5" t="s">
        <v>73</v>
      </c>
      <c r="B54" s="3">
        <v>73</v>
      </c>
      <c r="C54" s="12">
        <v>4483.05</v>
      </c>
      <c r="D54" s="12">
        <v>3601.1</v>
      </c>
      <c r="E54" s="12">
        <v>17933.84</v>
      </c>
      <c r="F54" s="12">
        <v>2863.59</v>
      </c>
      <c r="G54" s="12"/>
      <c r="H54" s="12"/>
      <c r="I54" s="12"/>
      <c r="J54" s="12">
        <v>2025.89</v>
      </c>
      <c r="K54" s="12">
        <v>12.82</v>
      </c>
      <c r="L54" s="12"/>
      <c r="M54" s="12">
        <f t="shared" si="0"/>
        <v>30920.289999999997</v>
      </c>
      <c r="N54" s="12">
        <v>3091.78</v>
      </c>
      <c r="O54" s="12">
        <v>2021.35</v>
      </c>
      <c r="P54" s="12">
        <v>1168</v>
      </c>
      <c r="Q54" s="12">
        <v>4618.96</v>
      </c>
      <c r="R54" s="12">
        <v>7261.25</v>
      </c>
      <c r="S54" s="12">
        <v>4689.08</v>
      </c>
      <c r="T54" s="12">
        <f t="shared" si="1"/>
        <v>53770.71</v>
      </c>
    </row>
    <row r="55" spans="1:20" x14ac:dyDescent="0.25">
      <c r="A55" s="5" t="s">
        <v>74</v>
      </c>
      <c r="B55" s="3">
        <v>244</v>
      </c>
      <c r="C55" s="12">
        <v>14178.8</v>
      </c>
      <c r="D55" s="12">
        <v>13717.38</v>
      </c>
      <c r="E55" s="12">
        <v>55436.59</v>
      </c>
      <c r="F55" s="12">
        <v>7321.83</v>
      </c>
      <c r="G55" s="12">
        <v>3021.73</v>
      </c>
      <c r="H55" s="12">
        <v>2673.08</v>
      </c>
      <c r="I55" s="12"/>
      <c r="J55" s="12"/>
      <c r="K55" s="12"/>
      <c r="L55" s="12">
        <v>25.69</v>
      </c>
      <c r="M55" s="12">
        <f t="shared" si="0"/>
        <v>96375.099999999991</v>
      </c>
      <c r="N55" s="12">
        <v>9637.6299999999992</v>
      </c>
      <c r="O55" s="12">
        <v>5987.61</v>
      </c>
      <c r="P55" s="12">
        <v>1536</v>
      </c>
      <c r="Q55" s="12">
        <v>13734.69</v>
      </c>
      <c r="R55" s="12">
        <v>23832.82</v>
      </c>
      <c r="S55" s="12">
        <v>14860.03</v>
      </c>
      <c r="T55" s="12">
        <f t="shared" si="1"/>
        <v>165963.88</v>
      </c>
    </row>
    <row r="56" spans="1:20" x14ac:dyDescent="0.25">
      <c r="A56" s="5" t="s">
        <v>75</v>
      </c>
      <c r="B56" s="3">
        <v>110</v>
      </c>
      <c r="C56" s="12">
        <v>8799.75</v>
      </c>
      <c r="D56" s="12">
        <v>8439.15</v>
      </c>
      <c r="E56" s="12">
        <v>41695.29</v>
      </c>
      <c r="F56" s="12">
        <v>4442.01</v>
      </c>
      <c r="G56" s="12">
        <v>2885.16</v>
      </c>
      <c r="H56" s="12">
        <v>2596.64</v>
      </c>
      <c r="I56" s="12">
        <v>504.96</v>
      </c>
      <c r="J56" s="12"/>
      <c r="K56" s="12">
        <v>3352.1</v>
      </c>
      <c r="L56" s="12">
        <v>443.75</v>
      </c>
      <c r="M56" s="12">
        <f t="shared" si="0"/>
        <v>73158.810000000012</v>
      </c>
      <c r="N56" s="12">
        <v>7318.96</v>
      </c>
      <c r="O56" s="12">
        <v>3651.49</v>
      </c>
      <c r="P56" s="12">
        <v>990</v>
      </c>
      <c r="Q56" s="12">
        <v>10778.8</v>
      </c>
      <c r="R56" s="12">
        <v>17051.84</v>
      </c>
      <c r="S56" s="12">
        <v>10396.02</v>
      </c>
      <c r="T56" s="12">
        <f t="shared" si="1"/>
        <v>123345.92000000003</v>
      </c>
    </row>
    <row r="57" spans="1:20" x14ac:dyDescent="0.25">
      <c r="A57" s="5" t="s">
        <v>76</v>
      </c>
      <c r="B57" s="3">
        <v>31</v>
      </c>
      <c r="C57" s="12">
        <v>976.19</v>
      </c>
      <c r="D57" s="12">
        <v>1077.24</v>
      </c>
      <c r="E57" s="12">
        <v>3864.75</v>
      </c>
      <c r="F57" s="12"/>
      <c r="G57" s="12">
        <v>256.05</v>
      </c>
      <c r="H57" s="12">
        <v>432.09</v>
      </c>
      <c r="I57" s="12">
        <v>104.05</v>
      </c>
      <c r="J57" s="12"/>
      <c r="K57" s="12">
        <v>558.97</v>
      </c>
      <c r="L57" s="12"/>
      <c r="M57" s="12">
        <f t="shared" si="0"/>
        <v>7269.3400000000011</v>
      </c>
      <c r="N57" s="12">
        <v>727.25</v>
      </c>
      <c r="O57" s="12">
        <v>455.46</v>
      </c>
      <c r="P57" s="12">
        <v>186</v>
      </c>
      <c r="Q57" s="12">
        <v>1109.22</v>
      </c>
      <c r="R57" s="12">
        <v>1763.56</v>
      </c>
      <c r="S57" s="12">
        <v>1310.5</v>
      </c>
      <c r="T57" s="12">
        <f t="shared" si="1"/>
        <v>12821.33</v>
      </c>
    </row>
    <row r="58" spans="1:20" x14ac:dyDescent="0.25">
      <c r="A58" s="5" t="s">
        <v>152</v>
      </c>
      <c r="B58" s="13" t="s">
        <v>39</v>
      </c>
      <c r="C58" s="12">
        <v>20264.77</v>
      </c>
      <c r="D58" s="12">
        <v>23918.93</v>
      </c>
      <c r="E58" s="12">
        <v>98894.5</v>
      </c>
      <c r="F58" s="12"/>
      <c r="G58" s="12">
        <v>4318.8100000000004</v>
      </c>
      <c r="H58" s="12">
        <v>2823.82</v>
      </c>
      <c r="I58" s="12"/>
      <c r="J58" s="12"/>
      <c r="K58" s="12">
        <v>4783.53</v>
      </c>
      <c r="L58" s="12">
        <v>750.62</v>
      </c>
      <c r="M58" s="12">
        <f t="shared" si="0"/>
        <v>155754.98000000001</v>
      </c>
      <c r="N58" s="12"/>
      <c r="O58" s="12"/>
      <c r="P58" s="12">
        <v>4922.68</v>
      </c>
      <c r="Q58" s="12">
        <v>18942.14</v>
      </c>
      <c r="R58" s="12">
        <v>31473.9</v>
      </c>
      <c r="S58" s="12">
        <v>19371.13</v>
      </c>
      <c r="T58" s="12">
        <f t="shared" si="1"/>
        <v>230464.83</v>
      </c>
    </row>
    <row r="59" spans="1:20" x14ac:dyDescent="0.25">
      <c r="A59" s="5" t="s">
        <v>77</v>
      </c>
      <c r="B59" s="3">
        <v>169</v>
      </c>
      <c r="C59" s="12">
        <v>6049.1</v>
      </c>
      <c r="D59" s="12">
        <v>3336.4</v>
      </c>
      <c r="E59" s="12">
        <v>25612.23</v>
      </c>
      <c r="F59" s="12">
        <v>6636.54</v>
      </c>
      <c r="G59" s="12">
        <v>2453.27</v>
      </c>
      <c r="H59" s="12">
        <v>2262.48</v>
      </c>
      <c r="I59" s="12">
        <v>1319.56</v>
      </c>
      <c r="J59" s="12">
        <v>2600.48</v>
      </c>
      <c r="K59" s="12">
        <v>45.18</v>
      </c>
      <c r="L59" s="12"/>
      <c r="M59" s="12">
        <f t="shared" si="0"/>
        <v>50315.24</v>
      </c>
      <c r="N59" s="12">
        <v>5012.3599999999997</v>
      </c>
      <c r="O59" s="12">
        <v>1901.82</v>
      </c>
      <c r="P59" s="12">
        <v>845</v>
      </c>
      <c r="Q59" s="12">
        <v>7816.63</v>
      </c>
      <c r="R59" s="12">
        <v>11742.02</v>
      </c>
      <c r="S59" s="12">
        <v>7382.9</v>
      </c>
      <c r="T59" s="12">
        <f t="shared" si="1"/>
        <v>85015.97</v>
      </c>
    </row>
    <row r="60" spans="1:20" x14ac:dyDescent="0.25">
      <c r="A60" s="5" t="s">
        <v>78</v>
      </c>
      <c r="B60" s="3">
        <v>4430</v>
      </c>
      <c r="C60" s="12">
        <v>493641.4</v>
      </c>
      <c r="D60" s="12">
        <v>490131.08</v>
      </c>
      <c r="E60" s="12">
        <v>2609259.2999999998</v>
      </c>
      <c r="F60" s="12"/>
      <c r="G60" s="12"/>
      <c r="H60" s="12"/>
      <c r="I60" s="12"/>
      <c r="J60" s="12"/>
      <c r="K60" s="12">
        <v>225625.98</v>
      </c>
      <c r="L60" s="12">
        <v>797115.2</v>
      </c>
      <c r="M60" s="12">
        <f t="shared" si="0"/>
        <v>4615772.96</v>
      </c>
      <c r="N60" s="12">
        <v>460189.86</v>
      </c>
      <c r="O60" s="12">
        <v>290033.38</v>
      </c>
      <c r="P60" s="12">
        <v>153654.98000000001</v>
      </c>
      <c r="Q60" s="12">
        <v>636565.44999999995</v>
      </c>
      <c r="R60" s="12">
        <v>1081066.8700000001</v>
      </c>
      <c r="S60" s="12">
        <v>715159.47</v>
      </c>
      <c r="T60" s="12">
        <f t="shared" si="1"/>
        <v>7952442.9700000007</v>
      </c>
    </row>
    <row r="61" spans="1:20" x14ac:dyDescent="0.25">
      <c r="A61" s="5" t="s">
        <v>79</v>
      </c>
      <c r="B61" s="3">
        <v>410</v>
      </c>
      <c r="C61" s="12">
        <v>80361.53</v>
      </c>
      <c r="D61" s="12">
        <v>42095.08</v>
      </c>
      <c r="E61" s="12">
        <v>401154.52</v>
      </c>
      <c r="F61" s="12">
        <v>39459.269999999997</v>
      </c>
      <c r="G61" s="12">
        <v>12478.44</v>
      </c>
      <c r="H61" s="12"/>
      <c r="I61" s="12"/>
      <c r="J61" s="12"/>
      <c r="K61" s="12">
        <v>16831.310000000001</v>
      </c>
      <c r="L61" s="12"/>
      <c r="M61" s="12">
        <f t="shared" si="0"/>
        <v>592380.15</v>
      </c>
      <c r="N61" s="12">
        <v>55070.5</v>
      </c>
      <c r="O61" s="12">
        <v>28993.06</v>
      </c>
      <c r="P61" s="12">
        <v>4100</v>
      </c>
      <c r="Q61" s="12">
        <v>78193.94</v>
      </c>
      <c r="R61" s="12">
        <v>134479.54999999999</v>
      </c>
      <c r="S61" s="12">
        <v>72535.48</v>
      </c>
      <c r="T61" s="12">
        <f t="shared" si="1"/>
        <v>965752.68000000017</v>
      </c>
    </row>
    <row r="62" spans="1:20" x14ac:dyDescent="0.25">
      <c r="A62" s="5" t="s">
        <v>80</v>
      </c>
      <c r="B62" s="3">
        <v>290</v>
      </c>
      <c r="C62" s="12">
        <v>13886.88</v>
      </c>
      <c r="D62" s="12">
        <v>9715.83</v>
      </c>
      <c r="E62" s="12">
        <v>49348.04</v>
      </c>
      <c r="F62" s="12">
        <v>8587.7099999999991</v>
      </c>
      <c r="G62" s="12">
        <v>4529.4399999999996</v>
      </c>
      <c r="H62" s="12">
        <v>2698.33</v>
      </c>
      <c r="I62" s="12">
        <v>793.07</v>
      </c>
      <c r="J62" s="12"/>
      <c r="K62" s="12">
        <v>3324.47</v>
      </c>
      <c r="L62" s="12"/>
      <c r="M62" s="12">
        <f t="shared" si="0"/>
        <v>92883.77</v>
      </c>
      <c r="N62" s="12">
        <v>9288.4</v>
      </c>
      <c r="O62" s="12">
        <v>5811.04</v>
      </c>
      <c r="P62" s="12">
        <v>1740</v>
      </c>
      <c r="Q62" s="12">
        <v>14048.68</v>
      </c>
      <c r="R62" s="12">
        <v>21596.639999999999</v>
      </c>
      <c r="S62" s="12">
        <v>15148.32</v>
      </c>
      <c r="T62" s="12">
        <f t="shared" si="1"/>
        <v>160516.84999999998</v>
      </c>
    </row>
    <row r="63" spans="1:20" x14ac:dyDescent="0.25">
      <c r="A63" s="5" t="s">
        <v>81</v>
      </c>
      <c r="B63" s="3">
        <v>632</v>
      </c>
      <c r="C63" s="12">
        <v>73359.710000000006</v>
      </c>
      <c r="D63" s="12">
        <v>88993.45</v>
      </c>
      <c r="E63" s="12">
        <v>452690.9</v>
      </c>
      <c r="F63" s="12">
        <v>62535.97</v>
      </c>
      <c r="G63" s="12">
        <v>12026.16</v>
      </c>
      <c r="H63" s="12">
        <v>5412.05</v>
      </c>
      <c r="I63" s="12"/>
      <c r="J63" s="12"/>
      <c r="K63" s="12">
        <v>20648.82</v>
      </c>
      <c r="L63" s="12">
        <v>19241.990000000002</v>
      </c>
      <c r="M63" s="12">
        <f t="shared" si="0"/>
        <v>734909.05</v>
      </c>
      <c r="N63" s="12">
        <v>73492.53</v>
      </c>
      <c r="O63" s="12">
        <v>36376.81</v>
      </c>
      <c r="P63" s="12">
        <v>14536</v>
      </c>
      <c r="Q63" s="12">
        <v>101011.83</v>
      </c>
      <c r="R63" s="12">
        <v>170219.72</v>
      </c>
      <c r="S63" s="12">
        <v>93958.61</v>
      </c>
      <c r="T63" s="12">
        <f t="shared" si="1"/>
        <v>1224504.5500000003</v>
      </c>
    </row>
    <row r="64" spans="1:20" x14ac:dyDescent="0.25">
      <c r="A64" s="5" t="s">
        <v>82</v>
      </c>
      <c r="B64" s="3">
        <v>230</v>
      </c>
      <c r="C64" s="12">
        <v>6248.97</v>
      </c>
      <c r="D64" s="12">
        <v>4578.99</v>
      </c>
      <c r="E64" s="12">
        <v>21503.95</v>
      </c>
      <c r="F64" s="12"/>
      <c r="G64" s="12">
        <v>1579.81</v>
      </c>
      <c r="H64" s="12">
        <v>1371.42</v>
      </c>
      <c r="I64" s="12">
        <v>466.08</v>
      </c>
      <c r="J64" s="12"/>
      <c r="K64" s="12">
        <v>31.14</v>
      </c>
      <c r="L64" s="12"/>
      <c r="M64" s="12">
        <f t="shared" si="0"/>
        <v>35780.36</v>
      </c>
      <c r="N64" s="12">
        <v>3578.05</v>
      </c>
      <c r="O64" s="12">
        <v>2245.1999999999998</v>
      </c>
      <c r="P64" s="12">
        <v>1150</v>
      </c>
      <c r="Q64" s="12">
        <v>5545.6</v>
      </c>
      <c r="R64" s="12">
        <v>8421.92</v>
      </c>
      <c r="S64" s="12">
        <v>7610.37</v>
      </c>
      <c r="T64" s="12">
        <f t="shared" si="1"/>
        <v>64331.5</v>
      </c>
    </row>
    <row r="65" spans="1:20" x14ac:dyDescent="0.25">
      <c r="A65" s="5" t="s">
        <v>83</v>
      </c>
      <c r="B65" s="3">
        <v>326</v>
      </c>
      <c r="C65" s="12">
        <v>19228.150000000001</v>
      </c>
      <c r="D65" s="12">
        <v>17100.79</v>
      </c>
      <c r="E65" s="12">
        <v>58976.51</v>
      </c>
      <c r="F65" s="12">
        <v>6983.27</v>
      </c>
      <c r="G65" s="12">
        <v>6277.89</v>
      </c>
      <c r="H65" s="12">
        <v>4675.55</v>
      </c>
      <c r="I65" s="12">
        <v>2177.48</v>
      </c>
      <c r="J65" s="12">
        <v>6711.66</v>
      </c>
      <c r="K65" s="12">
        <v>960.2</v>
      </c>
      <c r="L65" s="12"/>
      <c r="M65" s="12">
        <f t="shared" si="0"/>
        <v>123091.50000000001</v>
      </c>
      <c r="N65" s="12">
        <v>12309.15</v>
      </c>
      <c r="O65" s="12">
        <v>10969.28</v>
      </c>
      <c r="P65" s="12">
        <v>1630</v>
      </c>
      <c r="Q65" s="12">
        <v>19115.86</v>
      </c>
      <c r="R65" s="12">
        <v>28530.53</v>
      </c>
      <c r="S65" s="12">
        <v>18973.57</v>
      </c>
      <c r="T65" s="12">
        <f t="shared" si="1"/>
        <v>214619.89000000004</v>
      </c>
    </row>
    <row r="66" spans="1:20" x14ac:dyDescent="0.25">
      <c r="A66" s="5" t="s">
        <v>84</v>
      </c>
      <c r="B66" s="3">
        <v>84</v>
      </c>
      <c r="C66" s="12">
        <v>5389.81</v>
      </c>
      <c r="D66" s="12">
        <v>7289.5</v>
      </c>
      <c r="E66" s="12">
        <v>20056.990000000002</v>
      </c>
      <c r="F66" s="12">
        <v>2076.41</v>
      </c>
      <c r="G66" s="12">
        <v>1148.6600000000001</v>
      </c>
      <c r="H66" s="12">
        <v>1466.7</v>
      </c>
      <c r="I66" s="12"/>
      <c r="J66" s="12"/>
      <c r="K66" s="12">
        <v>2497.04</v>
      </c>
      <c r="L66" s="12"/>
      <c r="M66" s="12">
        <f t="shared" si="0"/>
        <v>39925.110000000008</v>
      </c>
      <c r="N66" s="12">
        <v>3998.28</v>
      </c>
      <c r="O66" s="12">
        <v>2548.8000000000002</v>
      </c>
      <c r="P66" s="12">
        <v>756</v>
      </c>
      <c r="Q66" s="12">
        <v>6239.84</v>
      </c>
      <c r="R66" s="12">
        <v>9389.89</v>
      </c>
      <c r="S66" s="12">
        <v>5492.98</v>
      </c>
      <c r="T66" s="12">
        <f t="shared" si="1"/>
        <v>68350.900000000009</v>
      </c>
    </row>
    <row r="67" spans="1:20" x14ac:dyDescent="0.25">
      <c r="A67" s="5" t="s">
        <v>85</v>
      </c>
      <c r="B67" s="3">
        <v>930</v>
      </c>
      <c r="C67" s="12">
        <v>61675.53</v>
      </c>
      <c r="D67" s="12">
        <v>30898.98</v>
      </c>
      <c r="E67" s="12">
        <v>208808.02</v>
      </c>
      <c r="F67" s="12">
        <v>39796.22</v>
      </c>
      <c r="G67" s="12">
        <v>20044.490000000002</v>
      </c>
      <c r="H67" s="12">
        <v>9829.5</v>
      </c>
      <c r="I67" s="12">
        <v>2013.61</v>
      </c>
      <c r="J67" s="12"/>
      <c r="K67" s="12">
        <v>1709.06</v>
      </c>
      <c r="L67" s="12"/>
      <c r="M67" s="12">
        <f t="shared" si="0"/>
        <v>374775.41</v>
      </c>
      <c r="N67" s="12">
        <v>37477.54</v>
      </c>
      <c r="O67" s="12">
        <v>16490.12</v>
      </c>
      <c r="P67" s="12"/>
      <c r="Q67" s="12">
        <v>54644.13</v>
      </c>
      <c r="R67" s="12">
        <v>87608.61</v>
      </c>
      <c r="S67" s="12">
        <v>59700.31</v>
      </c>
      <c r="T67" s="12">
        <f t="shared" si="1"/>
        <v>630696.11999999988</v>
      </c>
    </row>
    <row r="68" spans="1:20" x14ac:dyDescent="0.25">
      <c r="A68" s="5" t="s">
        <v>86</v>
      </c>
      <c r="B68" s="3">
        <v>172</v>
      </c>
      <c r="C68" s="12">
        <v>7241.43</v>
      </c>
      <c r="D68" s="12">
        <v>9378.2900000000009</v>
      </c>
      <c r="E68" s="12">
        <v>24336.080000000002</v>
      </c>
      <c r="F68" s="12">
        <v>6885.35</v>
      </c>
      <c r="G68" s="12">
        <v>1775.48</v>
      </c>
      <c r="H68" s="12">
        <v>2587.94</v>
      </c>
      <c r="I68" s="12">
        <v>712.26</v>
      </c>
      <c r="J68" s="12"/>
      <c r="K68" s="12">
        <v>2440.58</v>
      </c>
      <c r="L68" s="12"/>
      <c r="M68" s="12">
        <f t="shared" si="0"/>
        <v>55357.410000000011</v>
      </c>
      <c r="N68" s="12">
        <v>5536.09</v>
      </c>
      <c r="O68" s="12">
        <v>3474.71</v>
      </c>
      <c r="P68" s="12">
        <v>1548</v>
      </c>
      <c r="Q68" s="12">
        <v>8596.49</v>
      </c>
      <c r="R68" s="12">
        <v>13210.37</v>
      </c>
      <c r="S68" s="12">
        <v>8957.2000000000007</v>
      </c>
      <c r="T68" s="12">
        <f t="shared" si="1"/>
        <v>96680.270000000019</v>
      </c>
    </row>
    <row r="69" spans="1:20" x14ac:dyDescent="0.25">
      <c r="A69" s="5" t="s">
        <v>87</v>
      </c>
      <c r="B69" s="3">
        <v>63</v>
      </c>
      <c r="C69" s="12">
        <v>2228.0500000000002</v>
      </c>
      <c r="D69" s="12">
        <v>8522.1200000000008</v>
      </c>
      <c r="E69" s="12">
        <v>4583.83</v>
      </c>
      <c r="F69" s="12">
        <v>1460.77</v>
      </c>
      <c r="G69" s="12">
        <v>694</v>
      </c>
      <c r="H69" s="12">
        <v>767.03</v>
      </c>
      <c r="I69" s="12">
        <v>456.54</v>
      </c>
      <c r="J69" s="12"/>
      <c r="K69" s="12"/>
      <c r="L69" s="12"/>
      <c r="M69" s="12">
        <f t="shared" si="0"/>
        <v>18712.34</v>
      </c>
      <c r="N69" s="12">
        <v>1871.58</v>
      </c>
      <c r="O69" s="12">
        <v>1170.01</v>
      </c>
      <c r="P69" s="12">
        <v>630</v>
      </c>
      <c r="Q69" s="12">
        <v>2948.08</v>
      </c>
      <c r="R69" s="12">
        <v>4477.47</v>
      </c>
      <c r="S69" s="12">
        <v>3120.74</v>
      </c>
      <c r="T69" s="12">
        <f t="shared" si="1"/>
        <v>32930.219999999994</v>
      </c>
    </row>
    <row r="70" spans="1:20" x14ac:dyDescent="0.25">
      <c r="A70" s="5" t="s">
        <v>88</v>
      </c>
      <c r="B70" s="3">
        <v>159</v>
      </c>
      <c r="C70" s="12">
        <v>6329.46</v>
      </c>
      <c r="D70" s="12">
        <v>6236.94</v>
      </c>
      <c r="E70" s="12">
        <v>19928.849999999999</v>
      </c>
      <c r="F70" s="12">
        <v>6176.56</v>
      </c>
      <c r="G70" s="12">
        <v>2059.35</v>
      </c>
      <c r="H70" s="12">
        <v>3283.87</v>
      </c>
      <c r="I70" s="12">
        <v>569.65</v>
      </c>
      <c r="J70" s="12"/>
      <c r="K70" s="12">
        <v>44.46</v>
      </c>
      <c r="L70" s="12">
        <v>215.84</v>
      </c>
      <c r="M70" s="12">
        <f t="shared" ref="M70:M124" si="2">SUM(C70:L70)</f>
        <v>44844.979999999996</v>
      </c>
      <c r="N70" s="12">
        <v>4484.51</v>
      </c>
      <c r="O70" s="12">
        <v>2815.48</v>
      </c>
      <c r="P70" s="12">
        <v>1749</v>
      </c>
      <c r="Q70" s="12">
        <v>6980.12</v>
      </c>
      <c r="R70" s="12">
        <v>10746.99</v>
      </c>
      <c r="S70" s="12">
        <v>7599.5</v>
      </c>
      <c r="T70" s="12">
        <f t="shared" ref="T70:T124" si="3">SUM(M70:S70)</f>
        <v>79220.58</v>
      </c>
    </row>
    <row r="71" spans="1:20" x14ac:dyDescent="0.25">
      <c r="A71" s="5" t="s">
        <v>89</v>
      </c>
      <c r="B71" s="3">
        <v>236</v>
      </c>
      <c r="C71" s="12">
        <v>7790.11</v>
      </c>
      <c r="D71" s="12">
        <v>5981.46</v>
      </c>
      <c r="E71" s="12">
        <v>28494.58</v>
      </c>
      <c r="F71" s="12">
        <v>3662.37</v>
      </c>
      <c r="G71" s="12">
        <v>4981.0600000000004</v>
      </c>
      <c r="H71" s="12">
        <v>2396.4699999999998</v>
      </c>
      <c r="I71" s="12">
        <v>569.79</v>
      </c>
      <c r="J71" s="12"/>
      <c r="K71" s="12">
        <v>52.82</v>
      </c>
      <c r="L71" s="12"/>
      <c r="M71" s="12">
        <f t="shared" si="2"/>
        <v>53928.66</v>
      </c>
      <c r="N71" s="12">
        <v>5281.46</v>
      </c>
      <c r="O71" s="12">
        <v>3568.8</v>
      </c>
      <c r="P71" s="12">
        <v>4484</v>
      </c>
      <c r="Q71" s="12">
        <v>7874.47</v>
      </c>
      <c r="R71" s="12">
        <v>12553.14</v>
      </c>
      <c r="S71" s="12">
        <v>10130.129999999999</v>
      </c>
      <c r="T71" s="12">
        <f t="shared" si="3"/>
        <v>97820.660000000018</v>
      </c>
    </row>
    <row r="72" spans="1:20" x14ac:dyDescent="0.25">
      <c r="A72" s="5" t="s">
        <v>90</v>
      </c>
      <c r="B72" s="3">
        <v>99</v>
      </c>
      <c r="C72" s="12">
        <v>4319.3</v>
      </c>
      <c r="D72" s="12">
        <v>4602.5200000000004</v>
      </c>
      <c r="E72" s="12">
        <v>14161.6</v>
      </c>
      <c r="F72" s="12">
        <v>1416.16</v>
      </c>
      <c r="G72" s="12">
        <v>1203.76</v>
      </c>
      <c r="H72" s="12">
        <v>1699.38</v>
      </c>
      <c r="I72" s="12"/>
      <c r="J72" s="12"/>
      <c r="K72" s="12">
        <v>1926.71</v>
      </c>
      <c r="L72" s="12"/>
      <c r="M72" s="12">
        <f t="shared" si="2"/>
        <v>29329.429999999997</v>
      </c>
      <c r="N72" s="12">
        <v>2932.99</v>
      </c>
      <c r="O72" s="12">
        <v>1466.81</v>
      </c>
      <c r="P72" s="12"/>
      <c r="Q72" s="12">
        <v>4407.53</v>
      </c>
      <c r="R72" s="12">
        <v>6943.83</v>
      </c>
      <c r="S72" s="12">
        <v>4560.8999999999996</v>
      </c>
      <c r="T72" s="12">
        <f t="shared" si="3"/>
        <v>49641.49</v>
      </c>
    </row>
    <row r="73" spans="1:20" x14ac:dyDescent="0.25">
      <c r="A73" s="5" t="s">
        <v>91</v>
      </c>
      <c r="B73" s="3">
        <v>140</v>
      </c>
      <c r="C73" s="12">
        <v>7091.91</v>
      </c>
      <c r="D73" s="12">
        <v>5173.6099999999997</v>
      </c>
      <c r="E73" s="12">
        <v>22903.38</v>
      </c>
      <c r="F73" s="12">
        <v>3836.61</v>
      </c>
      <c r="G73" s="12">
        <v>2304.5300000000002</v>
      </c>
      <c r="H73" s="12">
        <v>2254.17</v>
      </c>
      <c r="I73" s="12"/>
      <c r="J73" s="12">
        <v>2477.59</v>
      </c>
      <c r="K73" s="12">
        <v>3287.81</v>
      </c>
      <c r="L73" s="12"/>
      <c r="M73" s="12">
        <f t="shared" si="2"/>
        <v>49329.61</v>
      </c>
      <c r="N73" s="12">
        <v>4933.07</v>
      </c>
      <c r="O73" s="12">
        <v>3073.6</v>
      </c>
      <c r="P73" s="12">
        <v>278</v>
      </c>
      <c r="Q73" s="12">
        <v>7209.3</v>
      </c>
      <c r="R73" s="12">
        <v>11747.26</v>
      </c>
      <c r="S73" s="12">
        <v>7142.63</v>
      </c>
      <c r="T73" s="12">
        <f t="shared" si="3"/>
        <v>83713.47</v>
      </c>
    </row>
    <row r="74" spans="1:20" x14ac:dyDescent="0.25">
      <c r="A74" s="5" t="s">
        <v>92</v>
      </c>
      <c r="B74" s="3">
        <v>58</v>
      </c>
      <c r="C74" s="12">
        <v>5065.34</v>
      </c>
      <c r="D74" s="12">
        <v>4940.84</v>
      </c>
      <c r="E74" s="12">
        <v>15569.72</v>
      </c>
      <c r="F74" s="12"/>
      <c r="G74" s="12">
        <v>830.38</v>
      </c>
      <c r="H74" s="12">
        <v>1909.87</v>
      </c>
      <c r="I74" s="12">
        <v>639.41999999999996</v>
      </c>
      <c r="J74" s="12"/>
      <c r="K74" s="12">
        <v>3833.54</v>
      </c>
      <c r="L74" s="12"/>
      <c r="M74" s="12">
        <f t="shared" si="2"/>
        <v>32789.11</v>
      </c>
      <c r="N74" s="12">
        <v>3278.93</v>
      </c>
      <c r="O74" s="12">
        <v>2074.81</v>
      </c>
      <c r="P74" s="12">
        <v>464</v>
      </c>
      <c r="Q74" s="12">
        <v>4964.3999999999996</v>
      </c>
      <c r="R74" s="12">
        <v>7628.62</v>
      </c>
      <c r="S74" s="12">
        <v>4394.34</v>
      </c>
      <c r="T74" s="12">
        <f t="shared" si="3"/>
        <v>55594.210000000006</v>
      </c>
    </row>
    <row r="75" spans="1:20" x14ac:dyDescent="0.25">
      <c r="A75" s="5" t="s">
        <v>93</v>
      </c>
      <c r="B75" s="3">
        <v>131</v>
      </c>
      <c r="C75" s="12">
        <v>8299.64</v>
      </c>
      <c r="D75" s="12">
        <v>8843.8700000000008</v>
      </c>
      <c r="E75" s="12">
        <v>32363.45</v>
      </c>
      <c r="F75" s="12">
        <v>5306.3</v>
      </c>
      <c r="G75" s="12">
        <v>1360.59</v>
      </c>
      <c r="H75" s="12">
        <v>2401.5300000000002</v>
      </c>
      <c r="I75" s="12">
        <v>925.12</v>
      </c>
      <c r="J75" s="12"/>
      <c r="K75" s="12">
        <v>6.42</v>
      </c>
      <c r="L75" s="12">
        <v>507.29</v>
      </c>
      <c r="M75" s="12">
        <f t="shared" si="2"/>
        <v>60014.210000000006</v>
      </c>
      <c r="N75" s="12">
        <v>6001.48</v>
      </c>
      <c r="O75" s="12">
        <v>2992.3</v>
      </c>
      <c r="P75" s="12">
        <v>80</v>
      </c>
      <c r="Q75" s="12">
        <v>8711.4599999999991</v>
      </c>
      <c r="R75" s="12">
        <v>13923.55</v>
      </c>
      <c r="S75" s="12">
        <v>9108.83</v>
      </c>
      <c r="T75" s="12">
        <f t="shared" si="3"/>
        <v>100831.83000000002</v>
      </c>
    </row>
    <row r="76" spans="1:20" x14ac:dyDescent="0.25">
      <c r="A76" s="5" t="s">
        <v>94</v>
      </c>
      <c r="B76" s="3">
        <v>48</v>
      </c>
      <c r="C76" s="12">
        <v>3542.36</v>
      </c>
      <c r="D76" s="12">
        <v>3164.93</v>
      </c>
      <c r="E76" s="12">
        <v>11556.18</v>
      </c>
      <c r="F76" s="12">
        <v>1713.13</v>
      </c>
      <c r="G76" s="12">
        <v>667.86</v>
      </c>
      <c r="H76" s="12">
        <v>1161.42</v>
      </c>
      <c r="I76" s="12"/>
      <c r="J76" s="12">
        <v>2003.5</v>
      </c>
      <c r="K76" s="12">
        <v>824.41</v>
      </c>
      <c r="L76" s="12"/>
      <c r="M76" s="12">
        <f t="shared" si="2"/>
        <v>24633.790000000005</v>
      </c>
      <c r="N76" s="12">
        <v>2455.89</v>
      </c>
      <c r="O76" s="12">
        <v>1540.82</v>
      </c>
      <c r="P76" s="12">
        <v>432</v>
      </c>
      <c r="Q76" s="12">
        <v>3801.93</v>
      </c>
      <c r="R76" s="12">
        <v>5759.05</v>
      </c>
      <c r="S76" s="12">
        <v>3335.56</v>
      </c>
      <c r="T76" s="12">
        <f t="shared" si="3"/>
        <v>41959.040000000001</v>
      </c>
    </row>
    <row r="77" spans="1:20" x14ac:dyDescent="0.25">
      <c r="A77" s="5" t="s">
        <v>95</v>
      </c>
      <c r="B77" s="3">
        <v>448</v>
      </c>
      <c r="C77" s="12">
        <v>45900.91</v>
      </c>
      <c r="D77" s="12">
        <v>35324.269999999997</v>
      </c>
      <c r="E77" s="12">
        <v>107309.34</v>
      </c>
      <c r="F77" s="12">
        <v>19707.18</v>
      </c>
      <c r="G77" s="12">
        <v>8923.86</v>
      </c>
      <c r="H77" s="12">
        <v>2230.94</v>
      </c>
      <c r="I77" s="12"/>
      <c r="J77" s="12"/>
      <c r="K77" s="12">
        <v>10194.81</v>
      </c>
      <c r="L77" s="12">
        <v>6855.06</v>
      </c>
      <c r="M77" s="12">
        <f t="shared" si="2"/>
        <v>236446.37</v>
      </c>
      <c r="N77" s="12">
        <v>23591.43</v>
      </c>
      <c r="O77" s="12">
        <v>14701.26</v>
      </c>
      <c r="P77" s="12">
        <v>7616</v>
      </c>
      <c r="Q77" s="12">
        <v>34656.17</v>
      </c>
      <c r="R77" s="12">
        <v>55736.14</v>
      </c>
      <c r="S77" s="12">
        <v>34140.410000000003</v>
      </c>
      <c r="T77" s="12">
        <f t="shared" si="3"/>
        <v>406887.78</v>
      </c>
    </row>
    <row r="78" spans="1:20" x14ac:dyDescent="0.25">
      <c r="A78" s="5" t="s">
        <v>96</v>
      </c>
      <c r="B78" s="3">
        <v>154</v>
      </c>
      <c r="C78" s="12">
        <v>6043.76</v>
      </c>
      <c r="D78" s="12">
        <v>4692.99</v>
      </c>
      <c r="E78" s="12">
        <v>19258.580000000002</v>
      </c>
      <c r="F78" s="12">
        <v>3895.44</v>
      </c>
      <c r="G78" s="12">
        <v>1970.1</v>
      </c>
      <c r="H78" s="12"/>
      <c r="I78" s="12">
        <v>737.13</v>
      </c>
      <c r="J78" s="12"/>
      <c r="K78" s="12">
        <v>4826.59</v>
      </c>
      <c r="L78" s="12"/>
      <c r="M78" s="12">
        <f t="shared" si="2"/>
        <v>41424.589999999997</v>
      </c>
      <c r="N78" s="12">
        <v>4142.51</v>
      </c>
      <c r="O78" s="12">
        <v>2659.23</v>
      </c>
      <c r="P78" s="12">
        <v>785</v>
      </c>
      <c r="Q78" s="12">
        <v>6032.15</v>
      </c>
      <c r="R78" s="12">
        <v>9849.16</v>
      </c>
      <c r="S78" s="12">
        <v>7163.35</v>
      </c>
      <c r="T78" s="12">
        <f t="shared" si="3"/>
        <v>72055.990000000005</v>
      </c>
    </row>
    <row r="79" spans="1:20" x14ac:dyDescent="0.25">
      <c r="A79" s="5" t="s">
        <v>97</v>
      </c>
      <c r="B79" s="3">
        <v>55</v>
      </c>
      <c r="C79" s="12">
        <v>3406.05</v>
      </c>
      <c r="D79" s="12">
        <v>3768.28</v>
      </c>
      <c r="E79" s="12">
        <v>13621.18</v>
      </c>
      <c r="F79" s="12"/>
      <c r="G79" s="12">
        <v>1033.03</v>
      </c>
      <c r="H79" s="12">
        <v>809.49</v>
      </c>
      <c r="I79" s="12">
        <v>362.99</v>
      </c>
      <c r="J79" s="12"/>
      <c r="K79" s="12">
        <v>0.42</v>
      </c>
      <c r="L79" s="12"/>
      <c r="M79" s="12">
        <f t="shared" si="2"/>
        <v>23001.440000000002</v>
      </c>
      <c r="N79" s="12">
        <v>2300.13</v>
      </c>
      <c r="O79" s="12">
        <v>1460.08</v>
      </c>
      <c r="P79" s="12">
        <v>385</v>
      </c>
      <c r="Q79" s="12">
        <v>3492.84</v>
      </c>
      <c r="R79" s="12">
        <v>5490.86</v>
      </c>
      <c r="S79" s="12">
        <v>3715.28</v>
      </c>
      <c r="T79" s="12">
        <f t="shared" si="3"/>
        <v>39845.629999999997</v>
      </c>
    </row>
    <row r="80" spans="1:20" x14ac:dyDescent="0.25">
      <c r="A80" s="5" t="s">
        <v>98</v>
      </c>
      <c r="B80" s="3">
        <v>630</v>
      </c>
      <c r="C80" s="12">
        <v>68302.8</v>
      </c>
      <c r="D80" s="12">
        <v>44507.63</v>
      </c>
      <c r="E80" s="12">
        <v>303472.77</v>
      </c>
      <c r="F80" s="12">
        <v>27192.66</v>
      </c>
      <c r="G80" s="12">
        <v>27400.04</v>
      </c>
      <c r="H80" s="12">
        <v>8308.3799999999992</v>
      </c>
      <c r="I80" s="12"/>
      <c r="J80" s="12">
        <v>26932.37</v>
      </c>
      <c r="K80" s="12">
        <v>1.02</v>
      </c>
      <c r="L80" s="12">
        <v>1203.82</v>
      </c>
      <c r="M80" s="12">
        <f t="shared" si="2"/>
        <v>507321.49</v>
      </c>
      <c r="N80" s="12">
        <v>49005.53</v>
      </c>
      <c r="O80" s="12">
        <v>32837.160000000003</v>
      </c>
      <c r="P80" s="12">
        <v>3835</v>
      </c>
      <c r="Q80" s="12">
        <v>62440.69</v>
      </c>
      <c r="R80" s="12">
        <v>111278.75</v>
      </c>
      <c r="S80" s="12">
        <v>64470.53</v>
      </c>
      <c r="T80" s="12">
        <f t="shared" si="3"/>
        <v>831189.15000000014</v>
      </c>
    </row>
    <row r="81" spans="1:20" x14ac:dyDescent="0.25">
      <c r="A81" s="5" t="s">
        <v>99</v>
      </c>
      <c r="B81" s="3">
        <v>196</v>
      </c>
      <c r="C81" s="12">
        <v>4832.79</v>
      </c>
      <c r="D81" s="12">
        <v>9500.49</v>
      </c>
      <c r="E81" s="12">
        <v>11522.81</v>
      </c>
      <c r="F81" s="12">
        <v>1539.69</v>
      </c>
      <c r="G81" s="12">
        <v>1613.87</v>
      </c>
      <c r="H81" s="12">
        <v>2033.47</v>
      </c>
      <c r="I81" s="12">
        <v>354.6</v>
      </c>
      <c r="J81" s="12"/>
      <c r="K81" s="12">
        <v>25.67</v>
      </c>
      <c r="L81" s="12"/>
      <c r="M81" s="12">
        <f t="shared" si="2"/>
        <v>31423.389999999992</v>
      </c>
      <c r="N81" s="12">
        <v>3140.53</v>
      </c>
      <c r="O81" s="12">
        <v>1694.97</v>
      </c>
      <c r="P81" s="12">
        <v>1040.22</v>
      </c>
      <c r="Q81" s="12">
        <v>4755.18</v>
      </c>
      <c r="R81" s="12">
        <v>7143.77</v>
      </c>
      <c r="S81" s="12">
        <v>7409.59</v>
      </c>
      <c r="T81" s="12">
        <f t="shared" si="3"/>
        <v>56607.649999999994</v>
      </c>
    </row>
    <row r="82" spans="1:20" x14ac:dyDescent="0.25">
      <c r="A82" s="5" t="s">
        <v>100</v>
      </c>
      <c r="B82" s="3">
        <v>55</v>
      </c>
      <c r="C82" s="12">
        <v>4429.53</v>
      </c>
      <c r="D82" s="12">
        <v>3122.45</v>
      </c>
      <c r="E82" s="12">
        <v>17827.009999999998</v>
      </c>
      <c r="F82" s="12">
        <v>1452.3</v>
      </c>
      <c r="G82" s="12">
        <v>1089.23</v>
      </c>
      <c r="H82" s="12">
        <v>940.4</v>
      </c>
      <c r="I82" s="12"/>
      <c r="J82" s="12"/>
      <c r="K82" s="12"/>
      <c r="L82" s="12">
        <v>399.41</v>
      </c>
      <c r="M82" s="12">
        <f t="shared" si="2"/>
        <v>29260.329999999998</v>
      </c>
      <c r="N82" s="12">
        <v>2926.16</v>
      </c>
      <c r="O82" s="12">
        <v>1825.69</v>
      </c>
      <c r="P82" s="12"/>
      <c r="Q82" s="12">
        <v>4488.24</v>
      </c>
      <c r="R82" s="12">
        <v>6914.28</v>
      </c>
      <c r="S82" s="12">
        <v>4392.17</v>
      </c>
      <c r="T82" s="12">
        <f t="shared" si="3"/>
        <v>49806.869999999995</v>
      </c>
    </row>
    <row r="83" spans="1:20" x14ac:dyDescent="0.25">
      <c r="A83" s="5" t="s">
        <v>101</v>
      </c>
      <c r="B83" s="3">
        <v>201</v>
      </c>
      <c r="C83" s="12">
        <v>24193.96</v>
      </c>
      <c r="D83" s="12">
        <v>19535.03</v>
      </c>
      <c r="E83" s="12">
        <v>69729.98</v>
      </c>
      <c r="F83" s="12">
        <v>17578.89</v>
      </c>
      <c r="G83" s="12">
        <v>15588.56</v>
      </c>
      <c r="H83" s="12">
        <v>3509.54</v>
      </c>
      <c r="I83" s="12">
        <v>969.8</v>
      </c>
      <c r="J83" s="12"/>
      <c r="K83" s="12">
        <v>11152.81</v>
      </c>
      <c r="L83" s="12">
        <v>21982.92</v>
      </c>
      <c r="M83" s="12">
        <f t="shared" si="2"/>
        <v>184241.49</v>
      </c>
      <c r="N83" s="12">
        <v>18424.2</v>
      </c>
      <c r="O83" s="12">
        <v>12415.13</v>
      </c>
      <c r="P83" s="12"/>
      <c r="Q83" s="12">
        <v>27543.06</v>
      </c>
      <c r="R83" s="12">
        <v>43422.879999999997</v>
      </c>
      <c r="S83" s="12">
        <v>24538.799999999999</v>
      </c>
      <c r="T83" s="12">
        <f t="shared" si="3"/>
        <v>310585.56</v>
      </c>
    </row>
    <row r="84" spans="1:20" x14ac:dyDescent="0.25">
      <c r="A84" s="5" t="s">
        <v>102</v>
      </c>
      <c r="B84" s="3">
        <v>196</v>
      </c>
      <c r="C84" s="12">
        <v>6484.07</v>
      </c>
      <c r="D84" s="12">
        <v>5912.23</v>
      </c>
      <c r="E84" s="12">
        <v>28216.880000000001</v>
      </c>
      <c r="F84" s="12">
        <v>4205.72</v>
      </c>
      <c r="G84" s="12">
        <v>1862.2</v>
      </c>
      <c r="H84" s="12">
        <v>2549.91</v>
      </c>
      <c r="I84" s="12"/>
      <c r="J84" s="12"/>
      <c r="K84" s="12"/>
      <c r="L84" s="12">
        <v>143.47999999999999</v>
      </c>
      <c r="M84" s="12">
        <f t="shared" si="2"/>
        <v>49374.49</v>
      </c>
      <c r="N84" s="12">
        <v>4826.43</v>
      </c>
      <c r="O84" s="12">
        <v>2143.9299999999998</v>
      </c>
      <c r="P84" s="12">
        <v>980</v>
      </c>
      <c r="Q84" s="12">
        <v>7340.89</v>
      </c>
      <c r="R84" s="12">
        <v>12097.85</v>
      </c>
      <c r="S84" s="12">
        <v>8487.85</v>
      </c>
      <c r="T84" s="12">
        <f t="shared" si="3"/>
        <v>85251.44</v>
      </c>
    </row>
    <row r="85" spans="1:20" x14ac:dyDescent="0.25">
      <c r="A85" s="5" t="s">
        <v>103</v>
      </c>
      <c r="B85" s="3">
        <v>50</v>
      </c>
      <c r="C85" s="12">
        <v>3082.85</v>
      </c>
      <c r="D85" s="12">
        <v>4649.5600000000004</v>
      </c>
      <c r="E85" s="12">
        <v>11295.37</v>
      </c>
      <c r="F85" s="12">
        <v>1541.43</v>
      </c>
      <c r="G85" s="12">
        <v>2021.56</v>
      </c>
      <c r="H85" s="12">
        <v>909.7</v>
      </c>
      <c r="I85" s="12"/>
      <c r="J85" s="12"/>
      <c r="K85" s="12"/>
      <c r="L85" s="12">
        <v>2922.14</v>
      </c>
      <c r="M85" s="12">
        <f t="shared" si="2"/>
        <v>26422.61</v>
      </c>
      <c r="N85" s="12">
        <v>2642.27</v>
      </c>
      <c r="O85" s="12">
        <v>1652.18</v>
      </c>
      <c r="P85" s="12">
        <v>1550</v>
      </c>
      <c r="Q85" s="12">
        <v>3977.44</v>
      </c>
      <c r="R85" s="12">
        <v>6193.42</v>
      </c>
      <c r="S85" s="12">
        <v>3821.67</v>
      </c>
      <c r="T85" s="12">
        <f t="shared" si="3"/>
        <v>46259.59</v>
      </c>
    </row>
    <row r="86" spans="1:20" x14ac:dyDescent="0.25">
      <c r="A86" s="5" t="s">
        <v>104</v>
      </c>
      <c r="B86" s="3">
        <v>267</v>
      </c>
      <c r="C86" s="12">
        <v>14857.35</v>
      </c>
      <c r="D86" s="12">
        <v>26307.4</v>
      </c>
      <c r="E86" s="12">
        <v>59307.65</v>
      </c>
      <c r="F86" s="12">
        <v>10108.129999999999</v>
      </c>
      <c r="G86" s="12">
        <v>3288.39</v>
      </c>
      <c r="H86" s="12">
        <v>4506.2</v>
      </c>
      <c r="I86" s="12">
        <v>974.2</v>
      </c>
      <c r="J86" s="12"/>
      <c r="K86" s="12">
        <v>12454.58</v>
      </c>
      <c r="L86" s="12"/>
      <c r="M86" s="12">
        <f t="shared" si="2"/>
        <v>131803.9</v>
      </c>
      <c r="N86" s="12">
        <v>13037.03</v>
      </c>
      <c r="O86" s="12">
        <v>8119.9</v>
      </c>
      <c r="P86" s="12"/>
      <c r="Q86" s="12">
        <v>20234.759999999998</v>
      </c>
      <c r="R86" s="12">
        <v>30316</v>
      </c>
      <c r="S86" s="12">
        <v>19680.02</v>
      </c>
      <c r="T86" s="12">
        <f t="shared" si="3"/>
        <v>223191.61</v>
      </c>
    </row>
    <row r="87" spans="1:20" x14ac:dyDescent="0.25">
      <c r="A87" s="5" t="s">
        <v>105</v>
      </c>
      <c r="B87" s="3">
        <v>83</v>
      </c>
      <c r="C87" s="12">
        <v>2942.41</v>
      </c>
      <c r="D87" s="12">
        <v>2628.91</v>
      </c>
      <c r="E87" s="12">
        <v>9574.86</v>
      </c>
      <c r="F87" s="12">
        <v>1751.7</v>
      </c>
      <c r="G87" s="12">
        <v>1205.9100000000001</v>
      </c>
      <c r="H87" s="12">
        <v>1176.93</v>
      </c>
      <c r="I87" s="12">
        <v>723.54</v>
      </c>
      <c r="J87" s="12"/>
      <c r="K87" s="12">
        <v>2079.92</v>
      </c>
      <c r="L87" s="12">
        <v>17</v>
      </c>
      <c r="M87" s="12">
        <f t="shared" si="2"/>
        <v>22101.18</v>
      </c>
      <c r="N87" s="12">
        <v>2204.52</v>
      </c>
      <c r="O87" s="12">
        <v>1380.28</v>
      </c>
      <c r="P87" s="12">
        <v>415</v>
      </c>
      <c r="Q87" s="12">
        <v>3355.56</v>
      </c>
      <c r="R87" s="12">
        <v>5291.89</v>
      </c>
      <c r="S87" s="12">
        <v>3807.99</v>
      </c>
      <c r="T87" s="12">
        <f t="shared" si="3"/>
        <v>38556.42</v>
      </c>
    </row>
    <row r="88" spans="1:20" x14ac:dyDescent="0.25">
      <c r="A88" s="5" t="s">
        <v>106</v>
      </c>
      <c r="B88" s="3">
        <v>236</v>
      </c>
      <c r="C88" s="12">
        <v>28041.54</v>
      </c>
      <c r="D88" s="12">
        <v>18616.71</v>
      </c>
      <c r="E88" s="12">
        <v>100772.4</v>
      </c>
      <c r="F88" s="12">
        <v>20221.34</v>
      </c>
      <c r="G88" s="12">
        <v>9193.61</v>
      </c>
      <c r="H88" s="12">
        <v>6664.43</v>
      </c>
      <c r="I88" s="12">
        <v>1608.89</v>
      </c>
      <c r="J88" s="12"/>
      <c r="K88" s="12">
        <v>7033.02</v>
      </c>
      <c r="L88" s="12"/>
      <c r="M88" s="12">
        <f t="shared" si="2"/>
        <v>192151.93999999997</v>
      </c>
      <c r="N88" s="12">
        <v>19215.41</v>
      </c>
      <c r="O88" s="12">
        <v>8591.74</v>
      </c>
      <c r="P88" s="12">
        <v>1422</v>
      </c>
      <c r="Q88" s="12">
        <v>27886.81</v>
      </c>
      <c r="R88" s="12">
        <v>44278.92</v>
      </c>
      <c r="S88" s="12">
        <v>25511.1</v>
      </c>
      <c r="T88" s="12">
        <f t="shared" si="3"/>
        <v>319057.91999999993</v>
      </c>
    </row>
    <row r="89" spans="1:20" x14ac:dyDescent="0.25">
      <c r="A89" s="5" t="s">
        <v>107</v>
      </c>
      <c r="B89" s="3">
        <v>74</v>
      </c>
      <c r="C89" s="12">
        <v>3293.08</v>
      </c>
      <c r="D89" s="12">
        <v>2132.4299999999998</v>
      </c>
      <c r="E89" s="12">
        <v>11444.7</v>
      </c>
      <c r="F89" s="12">
        <v>1430.64</v>
      </c>
      <c r="G89" s="12"/>
      <c r="H89" s="12">
        <v>1700.57</v>
      </c>
      <c r="I89" s="12">
        <v>404.97</v>
      </c>
      <c r="J89" s="12">
        <v>1565.54</v>
      </c>
      <c r="K89" s="12"/>
      <c r="L89" s="12"/>
      <c r="M89" s="12">
        <f t="shared" si="2"/>
        <v>21971.93</v>
      </c>
      <c r="N89" s="12">
        <v>2198.16</v>
      </c>
      <c r="O89" s="12">
        <v>1103.56</v>
      </c>
      <c r="P89" s="12">
        <v>1850</v>
      </c>
      <c r="Q89" s="12">
        <v>3409.89</v>
      </c>
      <c r="R89" s="12">
        <v>5130.6000000000004</v>
      </c>
      <c r="S89" s="12">
        <v>3638.35</v>
      </c>
      <c r="T89" s="12">
        <f t="shared" si="3"/>
        <v>39302.49</v>
      </c>
    </row>
    <row r="90" spans="1:20" x14ac:dyDescent="0.25">
      <c r="A90" s="5" t="s">
        <v>108</v>
      </c>
      <c r="B90" s="3">
        <v>42</v>
      </c>
      <c r="C90" s="12">
        <v>1561.05</v>
      </c>
      <c r="D90" s="12">
        <v>1125.81</v>
      </c>
      <c r="E90" s="12">
        <v>5766.69</v>
      </c>
      <c r="F90" s="12">
        <v>626.16999999999996</v>
      </c>
      <c r="G90" s="12">
        <v>511.73</v>
      </c>
      <c r="H90" s="12">
        <v>588.14</v>
      </c>
      <c r="I90" s="12">
        <v>230.07</v>
      </c>
      <c r="J90" s="12">
        <v>805.78</v>
      </c>
      <c r="K90" s="12">
        <v>2.6</v>
      </c>
      <c r="L90" s="12"/>
      <c r="M90" s="12">
        <f t="shared" si="2"/>
        <v>11218.039999999999</v>
      </c>
      <c r="N90" s="12">
        <v>1064.01</v>
      </c>
      <c r="O90" s="12">
        <v>711.06</v>
      </c>
      <c r="P90" s="12">
        <v>420</v>
      </c>
      <c r="Q90" s="12">
        <v>1624.92</v>
      </c>
      <c r="R90" s="12">
        <v>2569.65</v>
      </c>
      <c r="S90" s="12">
        <v>1910.75</v>
      </c>
      <c r="T90" s="12">
        <f t="shared" si="3"/>
        <v>19518.43</v>
      </c>
    </row>
    <row r="91" spans="1:20" x14ac:dyDescent="0.25">
      <c r="A91" s="5" t="s">
        <v>109</v>
      </c>
      <c r="B91" s="3">
        <v>139</v>
      </c>
      <c r="C91" s="12">
        <v>13044.39</v>
      </c>
      <c r="D91" s="12">
        <v>6925.06</v>
      </c>
      <c r="E91" s="12">
        <v>49948.17</v>
      </c>
      <c r="F91" s="12">
        <v>4429.29</v>
      </c>
      <c r="G91" s="12">
        <v>5220.9799999999996</v>
      </c>
      <c r="H91" s="12">
        <v>3171.9</v>
      </c>
      <c r="I91" s="12"/>
      <c r="J91" s="12">
        <v>4844.5200000000004</v>
      </c>
      <c r="K91" s="12">
        <v>5450.82</v>
      </c>
      <c r="L91" s="12"/>
      <c r="M91" s="12">
        <f t="shared" si="2"/>
        <v>93035.129999999976</v>
      </c>
      <c r="N91" s="12">
        <v>9303.6299999999992</v>
      </c>
      <c r="O91" s="12">
        <v>6020.25</v>
      </c>
      <c r="P91" s="12">
        <v>695</v>
      </c>
      <c r="Q91" s="12">
        <v>12753.98</v>
      </c>
      <c r="R91" s="12">
        <v>21871.38</v>
      </c>
      <c r="S91" s="12">
        <v>13150.53</v>
      </c>
      <c r="T91" s="12">
        <f t="shared" si="3"/>
        <v>156829.89999999997</v>
      </c>
    </row>
    <row r="92" spans="1:20" x14ac:dyDescent="0.25">
      <c r="A92" s="5" t="s">
        <v>110</v>
      </c>
      <c r="B92" s="3">
        <v>77</v>
      </c>
      <c r="C92" s="12">
        <v>3635.99</v>
      </c>
      <c r="D92" s="12">
        <v>1639.25</v>
      </c>
      <c r="E92" s="12">
        <v>14037.25</v>
      </c>
      <c r="F92" s="12">
        <v>1698.82</v>
      </c>
      <c r="G92" s="12">
        <v>1490.15</v>
      </c>
      <c r="H92" s="12">
        <v>3278.33</v>
      </c>
      <c r="I92" s="12">
        <v>506.7</v>
      </c>
      <c r="J92" s="12">
        <v>1967.01</v>
      </c>
      <c r="K92" s="12">
        <v>27.48</v>
      </c>
      <c r="L92" s="12"/>
      <c r="M92" s="12">
        <f t="shared" si="2"/>
        <v>28280.98</v>
      </c>
      <c r="N92" s="12">
        <v>2828.08</v>
      </c>
      <c r="O92" s="12">
        <v>1435.34</v>
      </c>
      <c r="P92" s="12">
        <v>385</v>
      </c>
      <c r="Q92" s="12">
        <v>4389.07</v>
      </c>
      <c r="R92" s="12">
        <v>6508.93</v>
      </c>
      <c r="S92" s="12">
        <v>4014.48</v>
      </c>
      <c r="T92" s="12">
        <f t="shared" si="3"/>
        <v>47841.88</v>
      </c>
    </row>
    <row r="93" spans="1:20" x14ac:dyDescent="0.25">
      <c r="A93" s="5" t="s">
        <v>111</v>
      </c>
      <c r="B93" s="3">
        <v>169</v>
      </c>
      <c r="C93" s="12">
        <v>8094.37</v>
      </c>
      <c r="D93" s="12">
        <v>6670.37</v>
      </c>
      <c r="E93" s="12">
        <v>32787.57</v>
      </c>
      <c r="F93" s="12">
        <v>5129.3</v>
      </c>
      <c r="G93" s="12">
        <v>1190.55</v>
      </c>
      <c r="H93" s="12">
        <v>1190.55</v>
      </c>
      <c r="I93" s="12">
        <v>343.5</v>
      </c>
      <c r="J93" s="12"/>
      <c r="K93" s="12"/>
      <c r="L93" s="12">
        <v>1070.05</v>
      </c>
      <c r="M93" s="12">
        <f t="shared" si="2"/>
        <v>56476.260000000009</v>
      </c>
      <c r="N93" s="12">
        <v>5558.58</v>
      </c>
      <c r="O93" s="12">
        <v>4169.55</v>
      </c>
      <c r="P93" s="12">
        <v>507</v>
      </c>
      <c r="Q93" s="12">
        <v>7968.7</v>
      </c>
      <c r="R93" s="12">
        <v>12886.14</v>
      </c>
      <c r="S93" s="12">
        <v>9162.6200000000008</v>
      </c>
      <c r="T93" s="12">
        <f t="shared" si="3"/>
        <v>96728.85</v>
      </c>
    </row>
    <row r="94" spans="1:20" x14ac:dyDescent="0.25">
      <c r="A94" s="5" t="s">
        <v>112</v>
      </c>
      <c r="B94" s="3">
        <v>173</v>
      </c>
      <c r="C94" s="12">
        <v>16068.22</v>
      </c>
      <c r="D94" s="12">
        <v>18865.330000000002</v>
      </c>
      <c r="E94" s="12">
        <v>48947.44</v>
      </c>
      <c r="F94" s="12">
        <v>10264.73</v>
      </c>
      <c r="G94" s="12"/>
      <c r="H94" s="12">
        <v>1318.27</v>
      </c>
      <c r="I94" s="12">
        <v>655.33000000000004</v>
      </c>
      <c r="J94" s="12"/>
      <c r="K94" s="12">
        <v>4073.85</v>
      </c>
      <c r="L94" s="12"/>
      <c r="M94" s="12">
        <f t="shared" si="2"/>
        <v>100193.17000000001</v>
      </c>
      <c r="N94" s="12">
        <v>10019.299999999999</v>
      </c>
      <c r="O94" s="12">
        <v>6607.28</v>
      </c>
      <c r="P94" s="12">
        <v>1384</v>
      </c>
      <c r="Q94" s="12">
        <v>14376.01</v>
      </c>
      <c r="R94" s="12">
        <v>23829.200000000001</v>
      </c>
      <c r="S94" s="12">
        <v>14412.7</v>
      </c>
      <c r="T94" s="12">
        <f t="shared" si="3"/>
        <v>170821.66000000003</v>
      </c>
    </row>
    <row r="95" spans="1:20" x14ac:dyDescent="0.25">
      <c r="A95" s="5" t="s">
        <v>113</v>
      </c>
      <c r="B95" s="3">
        <v>49</v>
      </c>
      <c r="C95" s="12">
        <v>2247.71</v>
      </c>
      <c r="D95" s="12">
        <v>2413.5</v>
      </c>
      <c r="E95" s="12">
        <v>7093.15</v>
      </c>
      <c r="F95" s="12">
        <v>921.19</v>
      </c>
      <c r="G95" s="12">
        <v>736.95</v>
      </c>
      <c r="H95" s="12"/>
      <c r="I95" s="12"/>
      <c r="J95" s="12"/>
      <c r="K95" s="12">
        <v>834.33</v>
      </c>
      <c r="L95" s="12"/>
      <c r="M95" s="12">
        <f t="shared" si="2"/>
        <v>14246.830000000002</v>
      </c>
      <c r="N95" s="12">
        <v>1424.67</v>
      </c>
      <c r="O95" s="12">
        <v>714.74</v>
      </c>
      <c r="P95" s="12">
        <v>245</v>
      </c>
      <c r="Q95" s="12">
        <v>2183.8000000000002</v>
      </c>
      <c r="R95" s="12">
        <v>3277.27</v>
      </c>
      <c r="S95" s="12">
        <v>2373.6</v>
      </c>
      <c r="T95" s="12">
        <f t="shared" si="3"/>
        <v>24465.91</v>
      </c>
    </row>
    <row r="96" spans="1:20" x14ac:dyDescent="0.25">
      <c r="A96" s="5" t="s">
        <v>114</v>
      </c>
      <c r="B96" s="3">
        <v>139</v>
      </c>
      <c r="C96" s="12">
        <v>6116.7</v>
      </c>
      <c r="D96" s="12">
        <v>3356.27</v>
      </c>
      <c r="E96" s="12">
        <v>22376.3</v>
      </c>
      <c r="F96" s="12">
        <v>3384.97</v>
      </c>
      <c r="G96" s="12">
        <v>1751.41</v>
      </c>
      <c r="H96" s="12">
        <v>1147.8900000000001</v>
      </c>
      <c r="I96" s="12">
        <v>300.23</v>
      </c>
      <c r="J96" s="12"/>
      <c r="K96" s="12">
        <v>50.15</v>
      </c>
      <c r="L96" s="12">
        <v>73.510000000000005</v>
      </c>
      <c r="M96" s="12">
        <f t="shared" si="2"/>
        <v>38557.430000000008</v>
      </c>
      <c r="N96" s="12">
        <v>3828.3</v>
      </c>
      <c r="O96" s="12">
        <v>2613.58</v>
      </c>
      <c r="P96" s="12">
        <v>695</v>
      </c>
      <c r="Q96" s="12">
        <v>5429.06</v>
      </c>
      <c r="R96" s="12">
        <v>8931.76</v>
      </c>
      <c r="S96" s="12">
        <v>6804.17</v>
      </c>
      <c r="T96" s="12">
        <f t="shared" si="3"/>
        <v>66859.300000000017</v>
      </c>
    </row>
    <row r="97" spans="1:20" x14ac:dyDescent="0.25">
      <c r="A97" s="5" t="s">
        <v>115</v>
      </c>
      <c r="B97" s="3">
        <v>234</v>
      </c>
      <c r="C97" s="12">
        <v>41223.82</v>
      </c>
      <c r="D97" s="12">
        <v>30380.17</v>
      </c>
      <c r="E97" s="12">
        <v>151454.79999999999</v>
      </c>
      <c r="F97" s="12">
        <v>8109.2</v>
      </c>
      <c r="G97" s="12">
        <v>6740.63</v>
      </c>
      <c r="H97" s="12"/>
      <c r="I97" s="12"/>
      <c r="J97" s="12">
        <v>15989.73</v>
      </c>
      <c r="K97" s="12">
        <v>32323.81</v>
      </c>
      <c r="L97" s="12">
        <v>74846.740000000005</v>
      </c>
      <c r="M97" s="12">
        <f t="shared" si="2"/>
        <v>361068.9</v>
      </c>
      <c r="N97" s="12">
        <v>35930.870000000003</v>
      </c>
      <c r="O97" s="12">
        <v>22846.78</v>
      </c>
      <c r="P97" s="12">
        <v>3744</v>
      </c>
      <c r="Q97" s="12">
        <v>47707.62</v>
      </c>
      <c r="R97" s="12">
        <v>83883.59</v>
      </c>
      <c r="S97" s="12">
        <v>45280.4</v>
      </c>
      <c r="T97" s="12">
        <f t="shared" si="3"/>
        <v>600462.16</v>
      </c>
    </row>
    <row r="98" spans="1:20" x14ac:dyDescent="0.25">
      <c r="A98" s="5" t="s">
        <v>153</v>
      </c>
      <c r="B98" s="3">
        <v>73</v>
      </c>
      <c r="C98" s="12">
        <v>5036.79</v>
      </c>
      <c r="D98" s="12">
        <v>4871.6499999999996</v>
      </c>
      <c r="E98" s="12">
        <v>23367.39</v>
      </c>
      <c r="F98" s="12">
        <v>4458.8100000000004</v>
      </c>
      <c r="G98" s="12">
        <v>2311.9499999999998</v>
      </c>
      <c r="H98" s="12">
        <v>1857.8</v>
      </c>
      <c r="I98" s="12">
        <v>660.55</v>
      </c>
      <c r="J98" s="12"/>
      <c r="K98" s="12">
        <v>3157.12</v>
      </c>
      <c r="L98" s="12"/>
      <c r="M98" s="12">
        <f t="shared" si="2"/>
        <v>45722.060000000005</v>
      </c>
      <c r="N98" s="12"/>
      <c r="O98" s="12"/>
      <c r="P98" s="12">
        <v>606.05999999999995</v>
      </c>
      <c r="Q98" s="12">
        <v>6087.15</v>
      </c>
      <c r="R98" s="12">
        <v>9317.57</v>
      </c>
      <c r="S98" s="12">
        <v>5870.9</v>
      </c>
      <c r="T98" s="12">
        <f t="shared" si="3"/>
        <v>67603.740000000005</v>
      </c>
    </row>
    <row r="99" spans="1:20" x14ac:dyDescent="0.25">
      <c r="A99" s="5" t="s">
        <v>116</v>
      </c>
      <c r="B99" s="3">
        <v>113</v>
      </c>
      <c r="C99" s="12">
        <v>2567.21</v>
      </c>
      <c r="D99" s="12">
        <v>2884.88</v>
      </c>
      <c r="E99" s="12">
        <v>8246.0400000000009</v>
      </c>
      <c r="F99" s="12">
        <v>2851.15</v>
      </c>
      <c r="G99" s="12">
        <v>816.95</v>
      </c>
      <c r="H99" s="12">
        <v>2202.91</v>
      </c>
      <c r="I99" s="12">
        <v>1139.01</v>
      </c>
      <c r="J99" s="12"/>
      <c r="K99" s="12"/>
      <c r="L99" s="12">
        <v>162.83000000000001</v>
      </c>
      <c r="M99" s="12">
        <f t="shared" si="2"/>
        <v>20870.980000000003</v>
      </c>
      <c r="N99" s="12">
        <v>2087.3200000000002</v>
      </c>
      <c r="O99" s="12">
        <v>440.13</v>
      </c>
      <c r="P99" s="12"/>
      <c r="Q99" s="12">
        <v>3159.16</v>
      </c>
      <c r="R99" s="12">
        <v>4171.18</v>
      </c>
      <c r="S99" s="12">
        <v>5195.24</v>
      </c>
      <c r="T99" s="12">
        <f t="shared" si="3"/>
        <v>35924.01</v>
      </c>
    </row>
    <row r="100" spans="1:20" x14ac:dyDescent="0.25">
      <c r="A100" s="5" t="s">
        <v>117</v>
      </c>
      <c r="B100" s="3">
        <v>50</v>
      </c>
      <c r="C100" s="12">
        <v>3325.43</v>
      </c>
      <c r="D100" s="12">
        <v>4224.9799999999996</v>
      </c>
      <c r="E100" s="12">
        <v>15046.15</v>
      </c>
      <c r="F100" s="12">
        <v>1908.03</v>
      </c>
      <c r="G100" s="12">
        <v>1499.23</v>
      </c>
      <c r="H100" s="12">
        <v>1090.3</v>
      </c>
      <c r="I100" s="12">
        <v>327.10000000000002</v>
      </c>
      <c r="J100" s="12"/>
      <c r="K100" s="12">
        <v>252</v>
      </c>
      <c r="L100" s="12">
        <v>599.67999999999995</v>
      </c>
      <c r="M100" s="12">
        <f t="shared" si="2"/>
        <v>28272.899999999994</v>
      </c>
      <c r="N100" s="12">
        <v>2827.31</v>
      </c>
      <c r="O100" s="12">
        <v>1406.19</v>
      </c>
      <c r="P100" s="12"/>
      <c r="Q100" s="12">
        <v>4216.53</v>
      </c>
      <c r="R100" s="12">
        <v>6523.33</v>
      </c>
      <c r="S100" s="12">
        <v>3750.66</v>
      </c>
      <c r="T100" s="12">
        <f t="shared" si="3"/>
        <v>46996.92</v>
      </c>
    </row>
    <row r="101" spans="1:20" x14ac:dyDescent="0.25">
      <c r="A101" s="5" t="s">
        <v>118</v>
      </c>
      <c r="B101" s="3">
        <v>359</v>
      </c>
      <c r="C101" s="12">
        <v>18521.16</v>
      </c>
      <c r="D101" s="12">
        <v>14057.53</v>
      </c>
      <c r="E101" s="12">
        <v>58973.39</v>
      </c>
      <c r="F101" s="12">
        <v>20616.900000000001</v>
      </c>
      <c r="G101" s="12">
        <v>4685.42</v>
      </c>
      <c r="H101" s="12">
        <v>3624.09</v>
      </c>
      <c r="I101" s="12">
        <v>1056.1400000000001</v>
      </c>
      <c r="J101" s="12"/>
      <c r="K101" s="12">
        <v>64.17</v>
      </c>
      <c r="L101" s="12">
        <v>189.39</v>
      </c>
      <c r="M101" s="12">
        <f t="shared" si="2"/>
        <v>121788.19</v>
      </c>
      <c r="N101" s="12">
        <v>11980.66</v>
      </c>
      <c r="O101" s="12">
        <v>11006.47</v>
      </c>
      <c r="P101" s="12">
        <v>4308</v>
      </c>
      <c r="Q101" s="12">
        <v>17641.13</v>
      </c>
      <c r="R101" s="12">
        <v>29144.22</v>
      </c>
      <c r="S101" s="12">
        <v>20494.650000000001</v>
      </c>
      <c r="T101" s="12">
        <f t="shared" si="3"/>
        <v>216363.32</v>
      </c>
    </row>
    <row r="102" spans="1:20" x14ac:dyDescent="0.25">
      <c r="A102" s="5" t="s">
        <v>119</v>
      </c>
      <c r="B102" s="3">
        <v>440</v>
      </c>
      <c r="C102" s="12">
        <v>25770.27</v>
      </c>
      <c r="D102" s="12">
        <v>21343.51</v>
      </c>
      <c r="E102" s="12">
        <v>89409.21</v>
      </c>
      <c r="F102" s="12">
        <v>14780.94</v>
      </c>
      <c r="G102" s="12">
        <v>8447.41</v>
      </c>
      <c r="H102" s="12">
        <v>3588.91</v>
      </c>
      <c r="I102" s="12"/>
      <c r="J102" s="12"/>
      <c r="K102" s="12">
        <v>104.96</v>
      </c>
      <c r="L102" s="12">
        <v>18851.28</v>
      </c>
      <c r="M102" s="12">
        <f t="shared" si="2"/>
        <v>182296.49</v>
      </c>
      <c r="N102" s="12">
        <v>18229.8</v>
      </c>
      <c r="O102" s="12">
        <v>14164.39</v>
      </c>
      <c r="P102" s="12">
        <v>4051.5</v>
      </c>
      <c r="Q102" s="12">
        <v>27744.71</v>
      </c>
      <c r="R102" s="12">
        <v>43945.75</v>
      </c>
      <c r="S102" s="12">
        <v>27219.25</v>
      </c>
      <c r="T102" s="12">
        <f t="shared" si="3"/>
        <v>317651.89</v>
      </c>
    </row>
    <row r="103" spans="1:20" x14ac:dyDescent="0.25">
      <c r="A103" s="5" t="s">
        <v>120</v>
      </c>
      <c r="B103" s="3">
        <v>108</v>
      </c>
      <c r="C103" s="12">
        <v>5035.16</v>
      </c>
      <c r="D103" s="12">
        <v>4003.39</v>
      </c>
      <c r="E103" s="12">
        <v>13454.62</v>
      </c>
      <c r="F103" s="12">
        <v>1733.41</v>
      </c>
      <c r="G103" s="12">
        <v>1444.65</v>
      </c>
      <c r="H103" s="12">
        <v>1238.1500000000001</v>
      </c>
      <c r="I103" s="12"/>
      <c r="J103" s="12"/>
      <c r="K103" s="12">
        <v>20.260000000000002</v>
      </c>
      <c r="L103" s="12"/>
      <c r="M103" s="12">
        <f t="shared" si="2"/>
        <v>26929.64</v>
      </c>
      <c r="N103" s="12">
        <v>2692.48</v>
      </c>
      <c r="O103" s="12">
        <v>1690.44</v>
      </c>
      <c r="P103" s="12"/>
      <c r="Q103" s="12">
        <v>4185.6899999999996</v>
      </c>
      <c r="R103" s="12">
        <v>6478.6</v>
      </c>
      <c r="S103" s="12">
        <v>4643.37</v>
      </c>
      <c r="T103" s="12">
        <f t="shared" si="3"/>
        <v>46620.22</v>
      </c>
    </row>
    <row r="104" spans="1:20" x14ac:dyDescent="0.25">
      <c r="A104" s="5" t="s">
        <v>121</v>
      </c>
      <c r="B104" s="3">
        <v>423</v>
      </c>
      <c r="C104" s="12">
        <v>31084.36</v>
      </c>
      <c r="D104" s="12">
        <v>12685.54</v>
      </c>
      <c r="E104" s="12">
        <v>101026.66</v>
      </c>
      <c r="F104" s="12">
        <v>15147.23</v>
      </c>
      <c r="G104" s="12">
        <v>5068.2299999999996</v>
      </c>
      <c r="H104" s="12">
        <v>3291.73</v>
      </c>
      <c r="I104" s="12"/>
      <c r="J104" s="12"/>
      <c r="K104" s="12">
        <v>10.39</v>
      </c>
      <c r="L104" s="12">
        <v>5171.91</v>
      </c>
      <c r="M104" s="12">
        <f t="shared" si="2"/>
        <v>173486.05000000005</v>
      </c>
      <c r="N104" s="12">
        <v>17375.66</v>
      </c>
      <c r="O104" s="12">
        <v>12802.54</v>
      </c>
      <c r="P104" s="12"/>
      <c r="Q104" s="12">
        <v>25378.67</v>
      </c>
      <c r="R104" s="12">
        <v>41619.82</v>
      </c>
      <c r="S104" s="12">
        <v>26537.47</v>
      </c>
      <c r="T104" s="12">
        <f t="shared" si="3"/>
        <v>297200.21000000008</v>
      </c>
    </row>
    <row r="105" spans="1:20" x14ac:dyDescent="0.25">
      <c r="A105" s="5" t="s">
        <v>122</v>
      </c>
      <c r="B105" s="3">
        <v>19</v>
      </c>
      <c r="C105" s="12">
        <v>649.52</v>
      </c>
      <c r="D105" s="12">
        <v>670.82</v>
      </c>
      <c r="E105" s="12">
        <v>2576.7600000000002</v>
      </c>
      <c r="F105" s="12">
        <v>713.39</v>
      </c>
      <c r="G105" s="12">
        <v>212.96</v>
      </c>
      <c r="H105" s="12">
        <v>638.86</v>
      </c>
      <c r="I105" s="12">
        <v>69.23</v>
      </c>
      <c r="J105" s="12"/>
      <c r="K105" s="12"/>
      <c r="L105" s="12"/>
      <c r="M105" s="12">
        <f t="shared" si="2"/>
        <v>5531.54</v>
      </c>
      <c r="N105" s="12">
        <v>553.20000000000005</v>
      </c>
      <c r="O105" s="12">
        <v>138.87</v>
      </c>
      <c r="P105" s="12"/>
      <c r="Q105" s="12">
        <v>859.93</v>
      </c>
      <c r="R105" s="12">
        <v>1262.94</v>
      </c>
      <c r="S105" s="12">
        <v>804.7</v>
      </c>
      <c r="T105" s="12">
        <f t="shared" si="3"/>
        <v>9151.18</v>
      </c>
    </row>
    <row r="106" spans="1:20" x14ac:dyDescent="0.25">
      <c r="A106" s="5" t="s">
        <v>123</v>
      </c>
      <c r="B106" s="3">
        <v>113</v>
      </c>
      <c r="C106" s="12">
        <v>7069.29</v>
      </c>
      <c r="D106" s="12">
        <v>4519.71</v>
      </c>
      <c r="E106" s="12">
        <v>22714.44</v>
      </c>
      <c r="F106" s="12">
        <v>2086</v>
      </c>
      <c r="G106" s="12">
        <v>2317.8000000000002</v>
      </c>
      <c r="H106" s="12">
        <v>1854.24</v>
      </c>
      <c r="I106" s="12">
        <v>521.6</v>
      </c>
      <c r="J106" s="12"/>
      <c r="K106" s="12">
        <v>10.64</v>
      </c>
      <c r="L106" s="12"/>
      <c r="M106" s="12">
        <f t="shared" si="2"/>
        <v>41093.72</v>
      </c>
      <c r="N106" s="12">
        <v>4109.51</v>
      </c>
      <c r="O106" s="12">
        <v>2578.9499999999998</v>
      </c>
      <c r="P106" s="12"/>
      <c r="Q106" s="12">
        <v>6379.09</v>
      </c>
      <c r="R106" s="12">
        <v>9735.85</v>
      </c>
      <c r="S106" s="12">
        <v>6586.28</v>
      </c>
      <c r="T106" s="12">
        <f t="shared" si="3"/>
        <v>70483.400000000009</v>
      </c>
    </row>
    <row r="107" spans="1:20" x14ac:dyDescent="0.25">
      <c r="A107" s="5" t="s">
        <v>124</v>
      </c>
      <c r="B107" s="3">
        <v>87</v>
      </c>
      <c r="C107" s="12">
        <v>6830.59</v>
      </c>
      <c r="D107" s="12">
        <v>3233.24</v>
      </c>
      <c r="E107" s="12">
        <v>26178.71</v>
      </c>
      <c r="F107" s="12">
        <v>3423.91</v>
      </c>
      <c r="G107" s="12">
        <v>2196.59</v>
      </c>
      <c r="H107" s="12"/>
      <c r="I107" s="12"/>
      <c r="J107" s="12"/>
      <c r="K107" s="12">
        <v>5.4</v>
      </c>
      <c r="L107" s="12"/>
      <c r="M107" s="12">
        <f t="shared" si="2"/>
        <v>41868.439999999995</v>
      </c>
      <c r="N107" s="12">
        <v>4168.07</v>
      </c>
      <c r="O107" s="12">
        <v>2642.2</v>
      </c>
      <c r="P107" s="12">
        <v>522</v>
      </c>
      <c r="Q107" s="12">
        <v>6319.36</v>
      </c>
      <c r="R107" s="12">
        <v>9511.1</v>
      </c>
      <c r="S107" s="12">
        <v>6046.02</v>
      </c>
      <c r="T107" s="12">
        <f t="shared" si="3"/>
        <v>71077.189999999988</v>
      </c>
    </row>
    <row r="108" spans="1:20" x14ac:dyDescent="0.25">
      <c r="A108" s="5" t="s">
        <v>125</v>
      </c>
      <c r="B108" s="3">
        <v>87</v>
      </c>
      <c r="C108" s="12">
        <v>4369.18</v>
      </c>
      <c r="D108" s="12">
        <v>2393.23</v>
      </c>
      <c r="E108" s="12">
        <v>16852.96</v>
      </c>
      <c r="F108" s="12">
        <v>1322.66</v>
      </c>
      <c r="G108" s="12">
        <v>1606.85</v>
      </c>
      <c r="H108" s="12">
        <v>739.67</v>
      </c>
      <c r="I108" s="12">
        <v>321.01</v>
      </c>
      <c r="J108" s="12">
        <v>1321.59</v>
      </c>
      <c r="K108" s="12">
        <v>28.14</v>
      </c>
      <c r="L108" s="12">
        <v>2357.54</v>
      </c>
      <c r="M108" s="12">
        <f t="shared" si="2"/>
        <v>31312.829999999994</v>
      </c>
      <c r="N108" s="12">
        <v>3131.34</v>
      </c>
      <c r="O108" s="12">
        <v>1999.73</v>
      </c>
      <c r="P108" s="12">
        <v>696</v>
      </c>
      <c r="Q108" s="12">
        <v>4854.1400000000003</v>
      </c>
      <c r="R108" s="12">
        <v>7375.8</v>
      </c>
      <c r="S108" s="12">
        <v>4514.38</v>
      </c>
      <c r="T108" s="12">
        <f t="shared" si="3"/>
        <v>53884.22</v>
      </c>
    </row>
    <row r="109" spans="1:20" x14ac:dyDescent="0.25">
      <c r="A109" s="5" t="s">
        <v>126</v>
      </c>
      <c r="B109" s="3">
        <v>436</v>
      </c>
      <c r="C109" s="12">
        <v>58004.09</v>
      </c>
      <c r="D109" s="12">
        <v>28428.65</v>
      </c>
      <c r="E109" s="12">
        <v>187877.27</v>
      </c>
      <c r="F109" s="12">
        <v>28434.06</v>
      </c>
      <c r="G109" s="12">
        <v>10417.32</v>
      </c>
      <c r="H109" s="12">
        <v>7106.8</v>
      </c>
      <c r="I109" s="12"/>
      <c r="J109" s="12"/>
      <c r="K109" s="12"/>
      <c r="L109" s="12"/>
      <c r="M109" s="12">
        <f t="shared" si="2"/>
        <v>320268.19</v>
      </c>
      <c r="N109" s="12">
        <v>31994.69</v>
      </c>
      <c r="O109" s="12">
        <v>16385.21</v>
      </c>
      <c r="P109" s="12">
        <v>2616</v>
      </c>
      <c r="Q109" s="12">
        <v>47001.87</v>
      </c>
      <c r="R109" s="12">
        <v>73651.820000000007</v>
      </c>
      <c r="S109" s="12">
        <v>43222.78</v>
      </c>
      <c r="T109" s="12">
        <f t="shared" si="3"/>
        <v>535140.56000000006</v>
      </c>
    </row>
    <row r="110" spans="1:20" x14ac:dyDescent="0.25">
      <c r="A110" s="5" t="s">
        <v>127</v>
      </c>
      <c r="B110" s="3">
        <v>254</v>
      </c>
      <c r="C110" s="12">
        <v>35079.49</v>
      </c>
      <c r="D110" s="12">
        <v>31536.26</v>
      </c>
      <c r="E110" s="12">
        <v>190923.12</v>
      </c>
      <c r="F110" s="12">
        <v>9176.6200000000008</v>
      </c>
      <c r="G110" s="12">
        <v>10750.72</v>
      </c>
      <c r="H110" s="12">
        <v>5734.45</v>
      </c>
      <c r="I110" s="12">
        <v>2863.61</v>
      </c>
      <c r="J110" s="12"/>
      <c r="K110" s="12">
        <v>19347.580000000002</v>
      </c>
      <c r="L110" s="12">
        <v>10022.68</v>
      </c>
      <c r="M110" s="12">
        <f t="shared" si="2"/>
        <v>315434.52999999997</v>
      </c>
      <c r="N110" s="12">
        <v>31543.61</v>
      </c>
      <c r="O110" s="12">
        <v>19573.18</v>
      </c>
      <c r="P110" s="12">
        <v>1778</v>
      </c>
      <c r="Q110" s="12">
        <v>42903.97</v>
      </c>
      <c r="R110" s="12">
        <v>74466.62</v>
      </c>
      <c r="S110" s="12">
        <v>40441.03</v>
      </c>
      <c r="T110" s="12">
        <f t="shared" si="3"/>
        <v>526140.93999999994</v>
      </c>
    </row>
    <row r="111" spans="1:20" x14ac:dyDescent="0.25">
      <c r="A111" s="5" t="s">
        <v>128</v>
      </c>
      <c r="B111" s="3">
        <v>70</v>
      </c>
      <c r="C111" s="12">
        <v>5026.25</v>
      </c>
      <c r="D111" s="12">
        <v>4161.08</v>
      </c>
      <c r="E111" s="12">
        <v>17179.89</v>
      </c>
      <c r="F111" s="12">
        <v>1771.55</v>
      </c>
      <c r="G111" s="12">
        <v>1524.35</v>
      </c>
      <c r="H111" s="12">
        <v>823.98</v>
      </c>
      <c r="I111" s="12"/>
      <c r="J111" s="12"/>
      <c r="K111" s="12"/>
      <c r="L111" s="12"/>
      <c r="M111" s="12">
        <f t="shared" si="2"/>
        <v>30487.1</v>
      </c>
      <c r="N111" s="12">
        <v>3048.71</v>
      </c>
      <c r="O111" s="12">
        <v>1523.18</v>
      </c>
      <c r="P111" s="12">
        <v>350</v>
      </c>
      <c r="Q111" s="12">
        <v>4537.75</v>
      </c>
      <c r="R111" s="12">
        <v>7151.8</v>
      </c>
      <c r="S111" s="12">
        <v>4555.8999999999996</v>
      </c>
      <c r="T111" s="12">
        <f t="shared" si="3"/>
        <v>51654.44</v>
      </c>
    </row>
    <row r="112" spans="1:20" x14ac:dyDescent="0.25">
      <c r="A112" s="5" t="s">
        <v>129</v>
      </c>
      <c r="B112" s="3">
        <v>100</v>
      </c>
      <c r="C112" s="12">
        <v>9551.98</v>
      </c>
      <c r="D112" s="12">
        <v>6889.88</v>
      </c>
      <c r="E112" s="12">
        <v>43844.98</v>
      </c>
      <c r="F112" s="12">
        <v>2975.16</v>
      </c>
      <c r="G112" s="12">
        <v>3131.78</v>
      </c>
      <c r="H112" s="12">
        <v>2685.54</v>
      </c>
      <c r="I112" s="12">
        <v>681.19</v>
      </c>
      <c r="J112" s="12"/>
      <c r="K112" s="12">
        <v>3732.42</v>
      </c>
      <c r="L112" s="12">
        <v>38.03</v>
      </c>
      <c r="M112" s="12">
        <f t="shared" si="2"/>
        <v>73530.959999999992</v>
      </c>
      <c r="N112" s="12">
        <v>7353.08</v>
      </c>
      <c r="O112" s="12">
        <v>4583.67</v>
      </c>
      <c r="P112" s="12">
        <v>500</v>
      </c>
      <c r="Q112" s="12">
        <v>10789.3</v>
      </c>
      <c r="R112" s="12">
        <v>17093.54</v>
      </c>
      <c r="S112" s="12">
        <v>10046.77</v>
      </c>
      <c r="T112" s="12">
        <f t="shared" si="3"/>
        <v>123897.31999999999</v>
      </c>
    </row>
    <row r="113" spans="1:20" x14ac:dyDescent="0.25">
      <c r="A113" s="5" t="s">
        <v>130</v>
      </c>
      <c r="B113" s="3">
        <v>58</v>
      </c>
      <c r="C113" s="12">
        <v>3192.07</v>
      </c>
      <c r="D113" s="12">
        <v>1988.51</v>
      </c>
      <c r="E113" s="12">
        <v>7451.67</v>
      </c>
      <c r="F113" s="12">
        <v>1072.75</v>
      </c>
      <c r="G113" s="12">
        <v>1046.58</v>
      </c>
      <c r="H113" s="12">
        <v>625.77</v>
      </c>
      <c r="I113" s="12"/>
      <c r="J113" s="12"/>
      <c r="K113" s="12"/>
      <c r="L113" s="12">
        <v>1883.87</v>
      </c>
      <c r="M113" s="12">
        <f t="shared" si="2"/>
        <v>17261.22</v>
      </c>
      <c r="N113" s="12">
        <v>1726.12</v>
      </c>
      <c r="O113" s="12">
        <v>1079.31</v>
      </c>
      <c r="P113" s="12"/>
      <c r="Q113" s="12">
        <v>2683.28</v>
      </c>
      <c r="R113" s="12">
        <v>4013.25</v>
      </c>
      <c r="S113" s="12">
        <v>2566.58</v>
      </c>
      <c r="T113" s="12">
        <f t="shared" si="3"/>
        <v>29329.760000000002</v>
      </c>
    </row>
    <row r="114" spans="1:20" x14ac:dyDescent="0.25">
      <c r="A114" s="5" t="s">
        <v>131</v>
      </c>
      <c r="B114" s="3">
        <v>62</v>
      </c>
      <c r="C114" s="12">
        <v>2720.63</v>
      </c>
      <c r="D114" s="12">
        <v>2140.8200000000002</v>
      </c>
      <c r="E114" s="12">
        <v>7871.99</v>
      </c>
      <c r="F114" s="12">
        <v>758.21</v>
      </c>
      <c r="G114" s="12">
        <v>735.91</v>
      </c>
      <c r="H114" s="12">
        <v>693.66</v>
      </c>
      <c r="I114" s="12">
        <v>223</v>
      </c>
      <c r="J114" s="12"/>
      <c r="K114" s="12"/>
      <c r="L114" s="12"/>
      <c r="M114" s="12">
        <f t="shared" si="2"/>
        <v>15144.220000000001</v>
      </c>
      <c r="N114" s="12">
        <v>1514.41</v>
      </c>
      <c r="O114" s="12">
        <v>972.94</v>
      </c>
      <c r="P114" s="12">
        <v>620</v>
      </c>
      <c r="Q114" s="12">
        <v>2684.95</v>
      </c>
      <c r="R114" s="12">
        <v>3673.57</v>
      </c>
      <c r="S114" s="12">
        <v>2704.79</v>
      </c>
      <c r="T114" s="12">
        <f t="shared" si="3"/>
        <v>27314.880000000001</v>
      </c>
    </row>
    <row r="115" spans="1:20" x14ac:dyDescent="0.25">
      <c r="A115" s="5" t="s">
        <v>132</v>
      </c>
      <c r="B115" s="3">
        <v>105</v>
      </c>
      <c r="C115" s="12">
        <v>3923.71</v>
      </c>
      <c r="D115" s="12">
        <v>2572.86</v>
      </c>
      <c r="E115" s="12">
        <v>14762.08</v>
      </c>
      <c r="F115" s="12">
        <v>997.06</v>
      </c>
      <c r="G115" s="12"/>
      <c r="H115" s="12"/>
      <c r="I115" s="12"/>
      <c r="J115" s="12"/>
      <c r="K115" s="12"/>
      <c r="L115" s="12">
        <v>2572.83</v>
      </c>
      <c r="M115" s="12">
        <f t="shared" si="2"/>
        <v>24828.54</v>
      </c>
      <c r="N115" s="12">
        <v>2482.88</v>
      </c>
      <c r="O115" s="12">
        <v>1702.32</v>
      </c>
      <c r="P115" s="12"/>
      <c r="Q115" s="12">
        <v>4178.7</v>
      </c>
      <c r="R115" s="12">
        <v>6277.97</v>
      </c>
      <c r="S115" s="12">
        <v>4605.0200000000004</v>
      </c>
      <c r="T115" s="12">
        <f t="shared" si="3"/>
        <v>44075.430000000008</v>
      </c>
    </row>
    <row r="116" spans="1:20" x14ac:dyDescent="0.25">
      <c r="A116" s="5" t="s">
        <v>133</v>
      </c>
      <c r="B116" s="3">
        <v>40</v>
      </c>
      <c r="C116" s="12">
        <v>3440.28</v>
      </c>
      <c r="D116" s="12">
        <v>2030.33</v>
      </c>
      <c r="E116" s="12">
        <v>16524.61</v>
      </c>
      <c r="F116" s="12">
        <v>3101.89</v>
      </c>
      <c r="G116" s="12">
        <v>1127.96</v>
      </c>
      <c r="H116" s="12">
        <v>1184.3599999999999</v>
      </c>
      <c r="I116" s="12"/>
      <c r="J116" s="12"/>
      <c r="K116" s="12">
        <v>3.12</v>
      </c>
      <c r="L116" s="12">
        <v>148.54</v>
      </c>
      <c r="M116" s="12">
        <f t="shared" si="2"/>
        <v>27561.09</v>
      </c>
      <c r="N116" s="12">
        <v>2756.12</v>
      </c>
      <c r="O116" s="12">
        <v>1383.66</v>
      </c>
      <c r="P116" s="12">
        <v>160</v>
      </c>
      <c r="Q116" s="12">
        <v>4274.5600000000004</v>
      </c>
      <c r="R116" s="12">
        <v>6340.21</v>
      </c>
      <c r="S116" s="12">
        <v>3770.06</v>
      </c>
      <c r="T116" s="12">
        <f t="shared" si="3"/>
        <v>46245.7</v>
      </c>
    </row>
    <row r="117" spans="1:20" x14ac:dyDescent="0.25">
      <c r="A117" s="5" t="s">
        <v>134</v>
      </c>
      <c r="B117" s="3">
        <v>160</v>
      </c>
      <c r="C117" s="12">
        <v>4359.62</v>
      </c>
      <c r="D117" s="12">
        <v>3534.67</v>
      </c>
      <c r="E117" s="12">
        <v>19263.09</v>
      </c>
      <c r="F117" s="12">
        <v>2365.06</v>
      </c>
      <c r="G117" s="12">
        <v>1036.1400000000001</v>
      </c>
      <c r="H117" s="12">
        <v>1165.8800000000001</v>
      </c>
      <c r="I117" s="12"/>
      <c r="J117" s="12"/>
      <c r="K117" s="12"/>
      <c r="L117" s="12">
        <v>12.44</v>
      </c>
      <c r="M117" s="12">
        <f t="shared" si="2"/>
        <v>31736.9</v>
      </c>
      <c r="N117" s="12">
        <v>3173.7</v>
      </c>
      <c r="O117" s="12">
        <v>2909.86</v>
      </c>
      <c r="P117" s="12">
        <v>759</v>
      </c>
      <c r="Q117" s="12">
        <v>4857.91</v>
      </c>
      <c r="R117" s="12">
        <v>7594.41</v>
      </c>
      <c r="S117" s="12">
        <v>6123.61</v>
      </c>
      <c r="T117" s="12">
        <f t="shared" si="3"/>
        <v>57155.39</v>
      </c>
    </row>
    <row r="118" spans="1:20" x14ac:dyDescent="0.25">
      <c r="A118" s="5" t="s">
        <v>135</v>
      </c>
      <c r="B118" s="3">
        <v>269</v>
      </c>
      <c r="C118" s="12">
        <v>34331.58</v>
      </c>
      <c r="D118" s="12">
        <v>38815.199999999997</v>
      </c>
      <c r="E118" s="12">
        <v>73540.570000000007</v>
      </c>
      <c r="F118" s="12">
        <v>12065.75</v>
      </c>
      <c r="G118" s="12">
        <v>5611.83</v>
      </c>
      <c r="H118" s="12">
        <v>1683.65</v>
      </c>
      <c r="I118" s="12">
        <v>1122.3399999999999</v>
      </c>
      <c r="J118" s="12"/>
      <c r="K118" s="12">
        <v>2.34</v>
      </c>
      <c r="L118" s="12">
        <v>1086.29</v>
      </c>
      <c r="M118" s="12">
        <f t="shared" si="2"/>
        <v>168259.55</v>
      </c>
      <c r="N118" s="12">
        <v>16825.939999999999</v>
      </c>
      <c r="O118" s="12">
        <v>10895.4</v>
      </c>
      <c r="P118" s="12">
        <v>3228</v>
      </c>
      <c r="Q118" s="12">
        <v>24501.43</v>
      </c>
      <c r="R118" s="12">
        <v>39747.660000000003</v>
      </c>
      <c r="S118" s="12">
        <v>23273.29</v>
      </c>
      <c r="T118" s="12">
        <f t="shared" si="3"/>
        <v>286731.26999999996</v>
      </c>
    </row>
    <row r="119" spans="1:20" x14ac:dyDescent="0.25">
      <c r="A119" s="5" t="s">
        <v>136</v>
      </c>
      <c r="B119" s="3">
        <v>33</v>
      </c>
      <c r="C119" s="12">
        <v>1862.79</v>
      </c>
      <c r="D119" s="12">
        <v>1142.5</v>
      </c>
      <c r="E119" s="12">
        <v>8058.13</v>
      </c>
      <c r="F119" s="12">
        <v>990.25</v>
      </c>
      <c r="G119" s="12">
        <v>335.19</v>
      </c>
      <c r="H119" s="12">
        <v>728.41</v>
      </c>
      <c r="I119" s="12"/>
      <c r="J119" s="12"/>
      <c r="K119" s="12">
        <v>319.17</v>
      </c>
      <c r="L119" s="12">
        <v>167.62</v>
      </c>
      <c r="M119" s="12">
        <f t="shared" si="2"/>
        <v>13604.060000000001</v>
      </c>
      <c r="N119" s="12">
        <v>1360.4</v>
      </c>
      <c r="O119" s="12">
        <v>848.21</v>
      </c>
      <c r="P119" s="12">
        <v>536.79999999999995</v>
      </c>
      <c r="Q119" s="12">
        <v>1999.39</v>
      </c>
      <c r="R119" s="12">
        <v>3229.64</v>
      </c>
      <c r="S119" s="12">
        <v>1916.78</v>
      </c>
      <c r="T119" s="12">
        <f t="shared" si="3"/>
        <v>23495.279999999999</v>
      </c>
    </row>
    <row r="120" spans="1:20" x14ac:dyDescent="0.25">
      <c r="A120" s="5" t="s">
        <v>137</v>
      </c>
      <c r="B120" s="3">
        <v>88</v>
      </c>
      <c r="C120" s="12">
        <v>3757.91</v>
      </c>
      <c r="D120" s="12">
        <v>3885.6</v>
      </c>
      <c r="E120" s="12">
        <v>11348.49</v>
      </c>
      <c r="F120" s="12">
        <v>2132.2800000000002</v>
      </c>
      <c r="G120" s="12">
        <v>879.59</v>
      </c>
      <c r="H120" s="12">
        <v>2036.99</v>
      </c>
      <c r="I120" s="12">
        <v>414.69</v>
      </c>
      <c r="J120" s="12">
        <v>169.59</v>
      </c>
      <c r="K120" s="12">
        <v>8.58</v>
      </c>
      <c r="L120" s="12"/>
      <c r="M120" s="12">
        <f t="shared" si="2"/>
        <v>24633.72</v>
      </c>
      <c r="N120" s="12">
        <v>2472.6</v>
      </c>
      <c r="O120" s="12">
        <v>2711.29</v>
      </c>
      <c r="P120" s="12">
        <v>264</v>
      </c>
      <c r="Q120" s="12">
        <v>3710.14</v>
      </c>
      <c r="R120" s="12">
        <v>6055.61</v>
      </c>
      <c r="S120" s="12">
        <v>4288.03</v>
      </c>
      <c r="T120" s="12">
        <f t="shared" si="3"/>
        <v>44135.39</v>
      </c>
    </row>
    <row r="121" spans="1:20" x14ac:dyDescent="0.25">
      <c r="A121" s="5" t="s">
        <v>138</v>
      </c>
      <c r="B121" s="3">
        <v>78</v>
      </c>
      <c r="C121" s="12">
        <v>3479.27</v>
      </c>
      <c r="D121" s="12">
        <v>4990.88</v>
      </c>
      <c r="E121" s="12">
        <v>13175.61</v>
      </c>
      <c r="F121" s="12">
        <v>1654.08</v>
      </c>
      <c r="G121" s="12">
        <v>784.36</v>
      </c>
      <c r="H121" s="12">
        <v>1967.87</v>
      </c>
      <c r="I121" s="12"/>
      <c r="J121" s="12">
        <v>1151.81</v>
      </c>
      <c r="K121" s="12">
        <v>365</v>
      </c>
      <c r="L121" s="12"/>
      <c r="M121" s="12">
        <f t="shared" si="2"/>
        <v>27568.880000000005</v>
      </c>
      <c r="N121" s="12">
        <v>2756.93</v>
      </c>
      <c r="O121" s="12">
        <v>1381.38</v>
      </c>
      <c r="P121" s="12"/>
      <c r="Q121" s="12">
        <v>4207.8999999999996</v>
      </c>
      <c r="R121" s="12">
        <v>6419.45</v>
      </c>
      <c r="S121" s="12">
        <v>4340.75</v>
      </c>
      <c r="T121" s="12">
        <f t="shared" si="3"/>
        <v>46675.29</v>
      </c>
    </row>
    <row r="122" spans="1:20" x14ac:dyDescent="0.25">
      <c r="A122" s="5" t="s">
        <v>139</v>
      </c>
      <c r="B122" s="3">
        <v>387</v>
      </c>
      <c r="C122" s="12">
        <v>20664.52</v>
      </c>
      <c r="D122" s="12">
        <v>12013.48</v>
      </c>
      <c r="E122" s="12">
        <v>45200.91</v>
      </c>
      <c r="F122" s="12">
        <v>6745.24</v>
      </c>
      <c r="G122" s="12">
        <v>6139.49</v>
      </c>
      <c r="H122" s="12">
        <v>8145.9</v>
      </c>
      <c r="I122" s="12">
        <v>2126.9899999999998</v>
      </c>
      <c r="J122" s="12"/>
      <c r="K122" s="12">
        <v>8.41</v>
      </c>
      <c r="L122" s="12"/>
      <c r="M122" s="12">
        <f t="shared" si="2"/>
        <v>101044.94000000002</v>
      </c>
      <c r="N122" s="12">
        <v>10104.780000000001</v>
      </c>
      <c r="O122" s="12">
        <v>8745.43</v>
      </c>
      <c r="P122" s="12">
        <v>3096</v>
      </c>
      <c r="Q122" s="12">
        <v>14427.25</v>
      </c>
      <c r="R122" s="12">
        <v>23391.66</v>
      </c>
      <c r="S122" s="12">
        <v>16985.93</v>
      </c>
      <c r="T122" s="12">
        <f t="shared" si="3"/>
        <v>177795.99000000002</v>
      </c>
    </row>
    <row r="123" spans="1:20" x14ac:dyDescent="0.25">
      <c r="A123" s="5" t="s">
        <v>140</v>
      </c>
      <c r="B123" s="3">
        <v>112</v>
      </c>
      <c r="C123" s="12">
        <v>5238.8999999999996</v>
      </c>
      <c r="D123" s="12">
        <v>3069.98</v>
      </c>
      <c r="E123" s="12">
        <v>14807.78</v>
      </c>
      <c r="F123" s="12">
        <v>3217.87</v>
      </c>
      <c r="G123" s="12">
        <v>1726.03</v>
      </c>
      <c r="H123" s="12">
        <v>3437.03</v>
      </c>
      <c r="I123" s="12">
        <v>1989.19</v>
      </c>
      <c r="J123" s="12"/>
      <c r="K123" s="12">
        <v>39</v>
      </c>
      <c r="L123" s="12"/>
      <c r="M123" s="12">
        <f t="shared" si="2"/>
        <v>33525.78</v>
      </c>
      <c r="N123" s="12">
        <v>3352.91</v>
      </c>
      <c r="O123" s="12">
        <v>2104.63</v>
      </c>
      <c r="P123" s="12">
        <v>760</v>
      </c>
      <c r="Q123" s="12">
        <v>5214.51</v>
      </c>
      <c r="R123" s="12">
        <v>8022.61</v>
      </c>
      <c r="S123" s="12">
        <v>7048.84</v>
      </c>
      <c r="T123" s="12">
        <f t="shared" si="3"/>
        <v>60029.279999999999</v>
      </c>
    </row>
    <row r="124" spans="1:20" x14ac:dyDescent="0.25">
      <c r="A124" s="7" t="s">
        <v>143</v>
      </c>
      <c r="B124" s="14">
        <v>278</v>
      </c>
      <c r="C124" s="15">
        <v>40338.800000000003</v>
      </c>
      <c r="D124" s="15">
        <v>22570.66</v>
      </c>
      <c r="E124" s="15">
        <v>161907.59</v>
      </c>
      <c r="F124" s="15">
        <v>21287.74</v>
      </c>
      <c r="G124" s="15">
        <v>6529.02</v>
      </c>
      <c r="H124" s="15">
        <v>5240.3</v>
      </c>
      <c r="I124" s="15"/>
      <c r="J124" s="15"/>
      <c r="K124" s="15">
        <v>3550.17</v>
      </c>
      <c r="L124" s="15"/>
      <c r="M124" s="15">
        <f t="shared" si="2"/>
        <v>261424.27999999997</v>
      </c>
      <c r="N124" s="15"/>
      <c r="O124" s="15"/>
      <c r="P124" s="15"/>
      <c r="Q124" s="15">
        <v>34215.14</v>
      </c>
      <c r="R124" s="15">
        <v>52088.5</v>
      </c>
      <c r="S124" s="15">
        <v>28824.67</v>
      </c>
      <c r="T124" s="15">
        <f t="shared" si="3"/>
        <v>376552.58999999997</v>
      </c>
    </row>
    <row r="125" spans="1:20" x14ac:dyDescent="0.25">
      <c r="A125" s="5"/>
      <c r="B125" s="3"/>
      <c r="C125" s="3"/>
      <c r="D125" s="3"/>
      <c r="E125" s="3"/>
      <c r="F125" s="3"/>
      <c r="G125" s="3"/>
      <c r="H125" s="3"/>
      <c r="I125" s="3"/>
      <c r="J125" s="3"/>
      <c r="K125" s="3"/>
      <c r="L125" s="3"/>
      <c r="M125" s="3"/>
      <c r="N125" s="3"/>
      <c r="O125" s="3"/>
      <c r="P125" s="3"/>
      <c r="Q125" s="3"/>
      <c r="R125" s="3"/>
      <c r="S125" s="3"/>
      <c r="T125" s="3"/>
    </row>
    <row r="126" spans="1:20" x14ac:dyDescent="0.25">
      <c r="A126" s="5" t="s">
        <v>141</v>
      </c>
      <c r="B126" s="16">
        <f t="shared" ref="B126:T126" si="4">SUM(B5:B125)</f>
        <v>26394</v>
      </c>
      <c r="C126" s="11">
        <f t="shared" si="4"/>
        <v>2464302.4300000002</v>
      </c>
      <c r="D126" s="11">
        <f t="shared" si="4"/>
        <v>2158865.4800000004</v>
      </c>
      <c r="E126" s="11">
        <f t="shared" si="4"/>
        <v>10428588.41</v>
      </c>
      <c r="F126" s="11">
        <f t="shared" si="4"/>
        <v>846650.62000000046</v>
      </c>
      <c r="G126" s="11">
        <f t="shared" si="4"/>
        <v>499210.07999999996</v>
      </c>
      <c r="H126" s="11">
        <f t="shared" si="4"/>
        <v>283616.84999999998</v>
      </c>
      <c r="I126" s="11">
        <f t="shared" si="4"/>
        <v>57100.19000000001</v>
      </c>
      <c r="J126" s="11">
        <f t="shared" si="4"/>
        <v>133656.99999999997</v>
      </c>
      <c r="K126" s="11">
        <f t="shared" si="4"/>
        <v>615785.37000000011</v>
      </c>
      <c r="L126" s="11">
        <f t="shared" si="4"/>
        <v>1435972.9200000002</v>
      </c>
      <c r="M126" s="11">
        <f t="shared" si="4"/>
        <v>18923749.349999994</v>
      </c>
      <c r="N126" s="11">
        <f t="shared" si="4"/>
        <v>1776318.1299999997</v>
      </c>
      <c r="O126" s="11">
        <f t="shared" si="4"/>
        <v>1041232.2900000003</v>
      </c>
      <c r="P126" s="11">
        <f t="shared" si="4"/>
        <v>325230.18999999994</v>
      </c>
      <c r="Q126" s="11">
        <f t="shared" si="4"/>
        <v>2639586.4000000004</v>
      </c>
      <c r="R126" s="11">
        <f t="shared" si="4"/>
        <v>4368074.7300000004</v>
      </c>
      <c r="S126" s="11">
        <f t="shared" si="4"/>
        <v>2705883.25</v>
      </c>
      <c r="T126" s="11">
        <f t="shared" si="4"/>
        <v>31780074.339999996</v>
      </c>
    </row>
    <row r="129" spans="2:15" x14ac:dyDescent="0.25">
      <c r="B129" s="2" t="s">
        <v>147</v>
      </c>
      <c r="C129" s="1"/>
      <c r="D129" s="1"/>
      <c r="E129" s="1"/>
      <c r="F129" s="1"/>
      <c r="G129" s="1"/>
      <c r="H129" s="1"/>
      <c r="I129" s="1"/>
      <c r="J129" s="1"/>
      <c r="K129" s="1"/>
      <c r="L129" s="1"/>
      <c r="M129" s="1"/>
      <c r="N129" s="1"/>
      <c r="O129" s="1"/>
    </row>
    <row r="130" spans="2:15" x14ac:dyDescent="0.25">
      <c r="B130" s="1"/>
      <c r="C130" s="1"/>
      <c r="D130" s="1"/>
      <c r="E130" s="1"/>
      <c r="F130" s="1"/>
      <c r="G130" s="1"/>
      <c r="H130" s="1"/>
      <c r="I130" s="1"/>
      <c r="J130" s="1"/>
      <c r="K130" s="1"/>
      <c r="L130" s="1"/>
      <c r="M130" s="1"/>
      <c r="N130" s="1"/>
      <c r="O130" s="1"/>
    </row>
    <row r="131" spans="2:15" x14ac:dyDescent="0.25">
      <c r="B131" s="1" t="s">
        <v>148</v>
      </c>
      <c r="C131" s="1"/>
      <c r="D131" s="1"/>
      <c r="E131" s="1"/>
      <c r="F131" s="1"/>
      <c r="G131" s="17"/>
      <c r="H131" s="17"/>
      <c r="I131" s="17"/>
      <c r="J131" s="17"/>
      <c r="K131" s="17"/>
      <c r="L131" s="17"/>
      <c r="M131" s="17"/>
      <c r="N131" s="17"/>
      <c r="O131" s="17"/>
    </row>
    <row r="132" spans="2:15" x14ac:dyDescent="0.25">
      <c r="B132" s="1" t="s">
        <v>145</v>
      </c>
      <c r="C132" s="1"/>
      <c r="D132" s="1"/>
      <c r="E132" s="1"/>
      <c r="F132" s="1"/>
      <c r="G132" s="17"/>
      <c r="H132" s="17"/>
      <c r="I132" s="17"/>
      <c r="J132" s="17"/>
      <c r="K132" s="17"/>
      <c r="L132" s="17"/>
      <c r="M132" s="17"/>
      <c r="N132" s="17"/>
      <c r="O132" s="17"/>
    </row>
    <row r="133" spans="2:15" x14ac:dyDescent="0.25">
      <c r="B133" s="1" t="s">
        <v>144</v>
      </c>
      <c r="C133" s="1"/>
      <c r="D133" s="1"/>
      <c r="E133" s="1"/>
      <c r="F133" s="1"/>
      <c r="G133" s="17"/>
      <c r="H133" s="17"/>
      <c r="I133" s="17"/>
      <c r="J133" s="17"/>
      <c r="K133" s="17"/>
      <c r="L133" s="17"/>
      <c r="M133" s="17"/>
      <c r="N133" s="17"/>
      <c r="O133" s="17"/>
    </row>
    <row r="134" spans="2:15" x14ac:dyDescent="0.25">
      <c r="B134" s="1" t="s">
        <v>146</v>
      </c>
      <c r="C134" s="1"/>
      <c r="D134" s="1"/>
      <c r="E134" s="1"/>
      <c r="F134" s="1"/>
      <c r="G134" s="17"/>
      <c r="H134" s="17"/>
      <c r="I134" s="17"/>
      <c r="J134" s="17"/>
      <c r="K134" s="17"/>
      <c r="L134" s="17"/>
      <c r="M134" s="17"/>
      <c r="N134" s="17"/>
      <c r="O134" s="17"/>
    </row>
    <row r="135" spans="2:15" x14ac:dyDescent="0.25">
      <c r="B135" s="1"/>
      <c r="C135" s="1"/>
      <c r="D135" s="1"/>
      <c r="E135" s="1"/>
      <c r="F135" s="1"/>
      <c r="G135" s="1"/>
      <c r="H135" s="1"/>
      <c r="I135" s="1"/>
      <c r="J135" s="1"/>
      <c r="K135" s="1"/>
      <c r="L135" s="1"/>
      <c r="M135" s="1"/>
      <c r="N135" s="1"/>
      <c r="O135" s="1"/>
    </row>
    <row r="136" spans="2:15" x14ac:dyDescent="0.25">
      <c r="B136" s="1"/>
      <c r="C136" s="1"/>
      <c r="D136" s="1"/>
      <c r="E136" s="1"/>
      <c r="F136" s="1"/>
      <c r="G136" s="1"/>
      <c r="H136" s="1"/>
      <c r="I136" s="1"/>
      <c r="J136" s="1"/>
      <c r="K136" s="1"/>
      <c r="L136" s="1"/>
      <c r="M136" s="1"/>
      <c r="N136" s="1"/>
      <c r="O136" s="1"/>
    </row>
  </sheetData>
  <sheetProtection password="DCEC" sheet="1" objects="1" scenarios="1"/>
  <mergeCells count="1">
    <mergeCell ref="A1:T1"/>
  </mergeCells>
  <printOptions horizontalCentered="1"/>
  <pageMargins left="0.45" right="0.45" top="0.75" bottom="0.5" header="0.3" footer="0.3"/>
  <pageSetup paperSize="5"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5"/>
  <sheetViews>
    <sheetView topLeftCell="G118" workbookViewId="0">
      <selection activeCell="R125" sqref="R125"/>
    </sheetView>
  </sheetViews>
  <sheetFormatPr defaultRowHeight="15" x14ac:dyDescent="0.25"/>
  <cols>
    <col min="1" max="1" width="14.42578125" customWidth="1"/>
    <col min="2" max="2" width="10.5703125" customWidth="1"/>
    <col min="3" max="3" width="15.28515625" customWidth="1"/>
    <col min="4" max="4" width="13.85546875" customWidth="1"/>
    <col min="5" max="5" width="13.7109375" customWidth="1"/>
    <col min="6" max="6" width="12.28515625" customWidth="1"/>
    <col min="7" max="7" width="12.7109375" customWidth="1"/>
    <col min="8" max="8" width="12.28515625" customWidth="1"/>
    <col min="9" max="9" width="11" customWidth="1"/>
    <col min="10" max="11" width="12.140625" customWidth="1"/>
    <col min="12" max="12" width="13.85546875" customWidth="1"/>
    <col min="13" max="13" width="15.85546875" customWidth="1"/>
    <col min="14" max="14" width="14.28515625" customWidth="1"/>
    <col min="15" max="15" width="13.7109375" customWidth="1"/>
    <col min="16" max="16" width="12" customWidth="1"/>
    <col min="17" max="19" width="14.140625" customWidth="1"/>
    <col min="20" max="20" width="14.7109375" customWidth="1"/>
  </cols>
  <sheetData>
    <row r="1" spans="1:20" ht="23.25" x14ac:dyDescent="0.35">
      <c r="A1" s="67" t="s">
        <v>154</v>
      </c>
      <c r="B1" s="67"/>
      <c r="C1" s="67"/>
      <c r="D1" s="67"/>
      <c r="E1" s="67"/>
      <c r="F1" s="67"/>
      <c r="G1" s="67"/>
      <c r="H1" s="67"/>
      <c r="I1" s="67"/>
      <c r="J1" s="67"/>
      <c r="K1" s="67"/>
      <c r="L1" s="67"/>
      <c r="M1" s="67"/>
      <c r="N1" s="67"/>
      <c r="O1" s="67"/>
      <c r="P1" s="67"/>
      <c r="Q1" s="67"/>
      <c r="R1" s="67"/>
      <c r="S1" s="67"/>
      <c r="T1" s="67"/>
    </row>
    <row r="2" spans="1:20" x14ac:dyDescent="0.25">
      <c r="A2" s="3"/>
      <c r="B2" s="4"/>
      <c r="C2" s="3"/>
      <c r="D2" s="3"/>
      <c r="E2" s="3"/>
      <c r="F2" s="3"/>
      <c r="G2" s="3"/>
      <c r="H2" s="3"/>
      <c r="I2" s="3"/>
      <c r="J2" s="3"/>
      <c r="K2" s="3"/>
      <c r="M2" s="4"/>
      <c r="N2" s="3"/>
      <c r="O2" s="3"/>
      <c r="P2" s="21"/>
      <c r="Q2" s="22"/>
      <c r="R2" s="21"/>
      <c r="S2" s="21"/>
      <c r="T2" s="20"/>
    </row>
    <row r="3" spans="1:20" ht="39.75" customHeight="1" x14ac:dyDescent="0.25">
      <c r="A3" s="7" t="s">
        <v>0</v>
      </c>
      <c r="B3" s="26" t="s">
        <v>165</v>
      </c>
      <c r="C3" s="23" t="s">
        <v>3</v>
      </c>
      <c r="D3" s="23" t="s">
        <v>4</v>
      </c>
      <c r="E3" s="23" t="s">
        <v>5</v>
      </c>
      <c r="F3" s="23" t="s">
        <v>6</v>
      </c>
      <c r="G3" s="23" t="s">
        <v>7</v>
      </c>
      <c r="H3" s="23" t="s">
        <v>8</v>
      </c>
      <c r="I3" s="23" t="s">
        <v>9</v>
      </c>
      <c r="J3" s="23" t="s">
        <v>26</v>
      </c>
      <c r="K3" s="23" t="s">
        <v>10</v>
      </c>
      <c r="L3" s="8" t="s">
        <v>11</v>
      </c>
      <c r="M3" s="23" t="s">
        <v>157</v>
      </c>
      <c r="N3" s="23" t="s">
        <v>15</v>
      </c>
      <c r="O3" s="23" t="s">
        <v>18</v>
      </c>
      <c r="P3" s="27" t="s">
        <v>161</v>
      </c>
      <c r="Q3" s="27" t="s">
        <v>162</v>
      </c>
      <c r="R3" s="27" t="s">
        <v>163</v>
      </c>
      <c r="S3" s="27" t="s">
        <v>164</v>
      </c>
      <c r="T3" s="23" t="s">
        <v>157</v>
      </c>
    </row>
    <row r="4" spans="1:20" x14ac:dyDescent="0.25">
      <c r="A4" s="5" t="s">
        <v>25</v>
      </c>
      <c r="B4" s="18">
        <v>28</v>
      </c>
      <c r="C4" s="9">
        <v>1744.96</v>
      </c>
      <c r="D4" s="10">
        <v>1616.26</v>
      </c>
      <c r="E4" s="11">
        <v>6321.92</v>
      </c>
      <c r="F4" s="11">
        <v>686.55</v>
      </c>
      <c r="G4" s="11">
        <v>357.61</v>
      </c>
      <c r="H4" s="11">
        <v>472.02</v>
      </c>
      <c r="I4" s="11">
        <v>228.85</v>
      </c>
      <c r="J4" s="11">
        <v>543.52</v>
      </c>
      <c r="K4" s="11">
        <v>2.98</v>
      </c>
      <c r="L4" s="11">
        <v>0</v>
      </c>
      <c r="M4" s="11">
        <f t="shared" ref="M4:M68" si="0">SUM(C4:L4)</f>
        <v>11974.67</v>
      </c>
      <c r="N4" s="11">
        <v>1197.5</v>
      </c>
      <c r="O4" s="11">
        <v>751.47</v>
      </c>
      <c r="P4" s="11">
        <v>280</v>
      </c>
      <c r="Q4" s="11">
        <f>1317.26+540.38</f>
        <v>1857.6399999999999</v>
      </c>
      <c r="R4" s="11">
        <v>2784.72</v>
      </c>
      <c r="S4" s="11">
        <f>280+1392.37</f>
        <v>1672.37</v>
      </c>
      <c r="T4" s="11">
        <f t="shared" ref="T4:T68" si="1">SUM(M4:S4)</f>
        <v>20518.37</v>
      </c>
    </row>
    <row r="5" spans="1:20" x14ac:dyDescent="0.25">
      <c r="A5" s="5" t="s">
        <v>27</v>
      </c>
      <c r="B5" s="18">
        <v>190</v>
      </c>
      <c r="C5" s="12">
        <v>5541.33</v>
      </c>
      <c r="D5" s="12">
        <v>4405.32</v>
      </c>
      <c r="E5" s="12">
        <v>24934.45</v>
      </c>
      <c r="F5" s="12">
        <v>4178.4799999999996</v>
      </c>
      <c r="G5" s="12">
        <v>1725.96</v>
      </c>
      <c r="H5" s="12">
        <v>1362.58</v>
      </c>
      <c r="I5" s="12">
        <v>923.78</v>
      </c>
      <c r="J5" s="12">
        <v>4451.6499999999996</v>
      </c>
      <c r="K5" s="12">
        <f>1890+8.68</f>
        <v>1898.68</v>
      </c>
      <c r="L5" s="12">
        <v>0</v>
      </c>
      <c r="M5" s="12">
        <f t="shared" si="0"/>
        <v>49422.23</v>
      </c>
      <c r="N5" s="12">
        <v>4942.24</v>
      </c>
      <c r="O5" s="12">
        <v>3087.47</v>
      </c>
      <c r="P5" s="12">
        <v>760</v>
      </c>
      <c r="Q5" s="12">
        <v>7384.89</v>
      </c>
      <c r="R5" s="12">
        <v>11680.39</v>
      </c>
      <c r="S5" s="12">
        <v>8595.19</v>
      </c>
      <c r="T5" s="12">
        <f t="shared" si="1"/>
        <v>85872.41</v>
      </c>
    </row>
    <row r="6" spans="1:20" x14ac:dyDescent="0.25">
      <c r="A6" s="5" t="s">
        <v>28</v>
      </c>
      <c r="B6" s="18">
        <v>105</v>
      </c>
      <c r="C6" s="12">
        <v>13558.15</v>
      </c>
      <c r="D6" s="12">
        <v>13543.13</v>
      </c>
      <c r="E6" s="12">
        <v>60783.75</v>
      </c>
      <c r="F6" s="12">
        <v>9658.26</v>
      </c>
      <c r="G6" s="12">
        <v>3290.06</v>
      </c>
      <c r="H6" s="12">
        <v>1732.52</v>
      </c>
      <c r="I6" s="12">
        <v>0</v>
      </c>
      <c r="J6" s="12">
        <v>0</v>
      </c>
      <c r="K6" s="12">
        <v>3307.1</v>
      </c>
      <c r="L6" s="12">
        <v>0</v>
      </c>
      <c r="M6" s="12">
        <f t="shared" si="0"/>
        <v>105872.97</v>
      </c>
      <c r="N6" s="12">
        <v>10587.3</v>
      </c>
      <c r="O6" s="12">
        <v>6603.3</v>
      </c>
      <c r="P6" s="12">
        <v>1155</v>
      </c>
      <c r="Q6" s="12">
        <v>15605.68</v>
      </c>
      <c r="R6" s="12">
        <v>24822.71</v>
      </c>
      <c r="S6" s="12">
        <v>13881.36</v>
      </c>
      <c r="T6" s="12">
        <f t="shared" si="1"/>
        <v>178528.32</v>
      </c>
    </row>
    <row r="7" spans="1:20" x14ac:dyDescent="0.25">
      <c r="A7" s="5" t="s">
        <v>29</v>
      </c>
      <c r="B7" s="18">
        <v>15</v>
      </c>
      <c r="C7" s="12">
        <v>1045.0999999999999</v>
      </c>
      <c r="D7" s="12">
        <v>1627.61</v>
      </c>
      <c r="E7" s="12">
        <v>4360.29</v>
      </c>
      <c r="F7" s="12">
        <v>0</v>
      </c>
      <c r="G7" s="12">
        <v>256.99</v>
      </c>
      <c r="H7" s="12">
        <v>256.99</v>
      </c>
      <c r="I7" s="12">
        <v>137.07</v>
      </c>
      <c r="J7" s="12">
        <v>0</v>
      </c>
      <c r="K7" s="12">
        <v>0</v>
      </c>
      <c r="L7" s="12">
        <v>0</v>
      </c>
      <c r="M7" s="12">
        <f t="shared" si="0"/>
        <v>7684.0499999999993</v>
      </c>
      <c r="N7" s="12">
        <v>768.42</v>
      </c>
      <c r="O7" s="12">
        <v>481.22</v>
      </c>
      <c r="P7" s="12">
        <v>0</v>
      </c>
      <c r="Q7" s="12">
        <f>845.24+327</f>
        <v>1172.24</v>
      </c>
      <c r="R7" s="12">
        <v>1786.73</v>
      </c>
      <c r="S7" s="12">
        <f>150+893.37</f>
        <v>1043.3699999999999</v>
      </c>
      <c r="T7" s="12">
        <f t="shared" si="1"/>
        <v>12936.029999999999</v>
      </c>
    </row>
    <row r="8" spans="1:20" x14ac:dyDescent="0.25">
      <c r="A8" s="5" t="s">
        <v>30</v>
      </c>
      <c r="B8" s="18">
        <v>102</v>
      </c>
      <c r="C8" s="12">
        <v>14453.21</v>
      </c>
      <c r="D8" s="12">
        <v>15794.03</v>
      </c>
      <c r="E8" s="12">
        <v>80712.86</v>
      </c>
      <c r="F8" s="12">
        <v>3385.28</v>
      </c>
      <c r="G8" s="12">
        <v>0</v>
      </c>
      <c r="H8" s="12">
        <v>1874.69</v>
      </c>
      <c r="I8" s="12">
        <v>0</v>
      </c>
      <c r="J8" s="12">
        <v>0</v>
      </c>
      <c r="K8" s="12">
        <v>1680</v>
      </c>
      <c r="L8" s="12">
        <v>3623.16</v>
      </c>
      <c r="M8" s="12">
        <f t="shared" si="0"/>
        <v>121523.23000000001</v>
      </c>
      <c r="N8" s="12">
        <v>12152.34</v>
      </c>
      <c r="O8" s="12">
        <v>7552.67</v>
      </c>
      <c r="P8" s="12">
        <v>710</v>
      </c>
      <c r="Q8" s="12">
        <v>17377.82</v>
      </c>
      <c r="R8" s="12">
        <v>28347.65</v>
      </c>
      <c r="S8" s="12">
        <v>15652.82</v>
      </c>
      <c r="T8" s="12">
        <f t="shared" si="1"/>
        <v>203316.53000000003</v>
      </c>
    </row>
    <row r="9" spans="1:20" x14ac:dyDescent="0.25">
      <c r="A9" s="5" t="s">
        <v>31</v>
      </c>
      <c r="B9" s="18">
        <v>27</v>
      </c>
      <c r="C9" s="12">
        <v>2393.44</v>
      </c>
      <c r="D9" s="12">
        <v>2117.44</v>
      </c>
      <c r="E9" s="12">
        <v>7290.84</v>
      </c>
      <c r="F9" s="12">
        <v>1741.25</v>
      </c>
      <c r="G9" s="12">
        <v>1856.08</v>
      </c>
      <c r="H9" s="12">
        <v>1017.53</v>
      </c>
      <c r="I9" s="12">
        <v>333.26</v>
      </c>
      <c r="J9" s="12">
        <v>1760.89</v>
      </c>
      <c r="K9" s="12">
        <v>1308.19</v>
      </c>
      <c r="L9" s="12">
        <v>0</v>
      </c>
      <c r="M9" s="12">
        <f t="shared" si="0"/>
        <v>19818.919999999998</v>
      </c>
      <c r="N9" s="12">
        <v>1981.92</v>
      </c>
      <c r="O9" s="12">
        <v>1334.19</v>
      </c>
      <c r="P9" s="12">
        <v>150</v>
      </c>
      <c r="Q9" s="12">
        <f>2165.61+770.1</f>
        <v>2935.71</v>
      </c>
      <c r="R9" s="12">
        <f>4627.01+50</f>
        <v>4677.01</v>
      </c>
      <c r="S9" s="12">
        <f>405+2313.53</f>
        <v>2718.53</v>
      </c>
      <c r="T9" s="12">
        <f t="shared" si="1"/>
        <v>33616.279999999992</v>
      </c>
    </row>
    <row r="10" spans="1:20" x14ac:dyDescent="0.25">
      <c r="A10" s="5" t="s">
        <v>32</v>
      </c>
      <c r="B10" s="18">
        <v>91</v>
      </c>
      <c r="C10" s="12">
        <v>6968.67</v>
      </c>
      <c r="D10" s="12">
        <v>5996.07</v>
      </c>
      <c r="E10" s="12">
        <v>16300.39</v>
      </c>
      <c r="F10" s="12">
        <v>3742.34</v>
      </c>
      <c r="G10" s="12">
        <v>1891.58</v>
      </c>
      <c r="H10" s="12">
        <v>0</v>
      </c>
      <c r="I10" s="12">
        <v>0</v>
      </c>
      <c r="J10" s="12">
        <v>0</v>
      </c>
      <c r="K10" s="12">
        <v>6.14</v>
      </c>
      <c r="L10" s="12">
        <v>1464.02</v>
      </c>
      <c r="M10" s="12">
        <f t="shared" si="0"/>
        <v>36369.21</v>
      </c>
      <c r="N10" s="12">
        <v>3636.92</v>
      </c>
      <c r="O10" s="12">
        <v>1818.04</v>
      </c>
      <c r="P10" s="12">
        <v>1456</v>
      </c>
      <c r="Q10" s="12">
        <v>5637.23</v>
      </c>
      <c r="R10" s="12">
        <v>8364.83</v>
      </c>
      <c r="S10" s="12">
        <v>5547.42</v>
      </c>
      <c r="T10" s="12">
        <f t="shared" si="1"/>
        <v>62829.649999999994</v>
      </c>
    </row>
    <row r="11" spans="1:20" x14ac:dyDescent="0.25">
      <c r="A11" s="5" t="s">
        <v>33</v>
      </c>
      <c r="B11" s="18">
        <v>254</v>
      </c>
      <c r="C11" s="12">
        <v>46222.98</v>
      </c>
      <c r="D11" s="12">
        <v>38082.839999999997</v>
      </c>
      <c r="E11" s="12">
        <f>183183.24+57500.63</f>
        <v>240683.87</v>
      </c>
      <c r="F11" s="12">
        <v>18629.62</v>
      </c>
      <c r="G11" s="12">
        <v>7079.34</v>
      </c>
      <c r="H11" s="12">
        <v>5999.12</v>
      </c>
      <c r="I11" s="12">
        <v>0</v>
      </c>
      <c r="J11" s="12">
        <v>0</v>
      </c>
      <c r="K11" s="12">
        <v>51951.82</v>
      </c>
      <c r="L11" s="12">
        <v>0</v>
      </c>
      <c r="M11" s="12">
        <f t="shared" si="0"/>
        <v>408649.59</v>
      </c>
      <c r="N11" s="12">
        <v>39459.660000000003</v>
      </c>
      <c r="O11" s="12">
        <v>25386.95</v>
      </c>
      <c r="P11" s="12">
        <v>0</v>
      </c>
      <c r="Q11" s="12">
        <f>11223.33+45978.51</f>
        <v>57201.840000000004</v>
      </c>
      <c r="R11" s="12">
        <f>95006.95+508.87</f>
        <v>95515.819999999992</v>
      </c>
      <c r="S11" s="12">
        <f>1277.23+47863.97+2534.45</f>
        <v>51675.65</v>
      </c>
      <c r="T11" s="12">
        <f t="shared" si="1"/>
        <v>677889.51</v>
      </c>
    </row>
    <row r="12" spans="1:20" x14ac:dyDescent="0.25">
      <c r="A12" s="5" t="s">
        <v>34</v>
      </c>
      <c r="B12" s="18">
        <v>51</v>
      </c>
      <c r="C12" s="12">
        <v>10054.84</v>
      </c>
      <c r="D12" s="12">
        <v>10549.28</v>
      </c>
      <c r="E12" s="12">
        <v>36481.58</v>
      </c>
      <c r="F12" s="12">
        <v>6181.31</v>
      </c>
      <c r="G12" s="12">
        <v>3049.44</v>
      </c>
      <c r="H12" s="12">
        <v>1648.32</v>
      </c>
      <c r="I12" s="12">
        <v>576.92999999999995</v>
      </c>
      <c r="J12" s="12">
        <v>0</v>
      </c>
      <c r="K12" s="12">
        <v>0</v>
      </c>
      <c r="L12" s="12">
        <v>0</v>
      </c>
      <c r="M12" s="12">
        <f t="shared" si="0"/>
        <v>68541.7</v>
      </c>
      <c r="N12" s="12">
        <v>6854.17</v>
      </c>
      <c r="O12" s="12">
        <v>3410.45</v>
      </c>
      <c r="P12" s="12">
        <v>510</v>
      </c>
      <c r="Q12" s="12">
        <f>7539.62+2326.22</f>
        <v>9865.84</v>
      </c>
      <c r="R12" s="12">
        <f>15761.26+248.88</f>
        <v>16010.14</v>
      </c>
      <c r="S12" s="12">
        <f>765+7880.68</f>
        <v>8645.68</v>
      </c>
      <c r="T12" s="12">
        <f t="shared" si="1"/>
        <v>113837.97999999998</v>
      </c>
    </row>
    <row r="13" spans="1:20" x14ac:dyDescent="0.25">
      <c r="A13" s="5" t="s">
        <v>35</v>
      </c>
      <c r="B13" s="18">
        <v>308</v>
      </c>
      <c r="C13" s="12">
        <v>27757.759999999998</v>
      </c>
      <c r="D13" s="12">
        <v>39517.81</v>
      </c>
      <c r="E13" s="12">
        <v>66731.55</v>
      </c>
      <c r="F13" s="12">
        <v>33108.94</v>
      </c>
      <c r="G13" s="12">
        <v>8864.06</v>
      </c>
      <c r="H13" s="12">
        <v>8649.31</v>
      </c>
      <c r="I13" s="12">
        <v>0</v>
      </c>
      <c r="J13" s="12">
        <v>16179.22</v>
      </c>
      <c r="K13" s="12">
        <f>11459.73+2.58</f>
        <v>11462.31</v>
      </c>
      <c r="L13" s="12">
        <v>0</v>
      </c>
      <c r="M13" s="12">
        <f t="shared" si="0"/>
        <v>212270.96</v>
      </c>
      <c r="N13" s="12">
        <v>21227.119999999999</v>
      </c>
      <c r="O13" s="12">
        <v>13243.82</v>
      </c>
      <c r="P13" s="12">
        <v>3696</v>
      </c>
      <c r="Q13" s="12">
        <v>31378.36</v>
      </c>
      <c r="R13" s="12">
        <v>49964.38</v>
      </c>
      <c r="S13" s="12">
        <v>29294.19</v>
      </c>
      <c r="T13" s="12">
        <f t="shared" si="1"/>
        <v>361074.83</v>
      </c>
    </row>
    <row r="14" spans="1:20" x14ac:dyDescent="0.25">
      <c r="A14" s="5" t="s">
        <v>36</v>
      </c>
      <c r="B14" s="18">
        <v>84</v>
      </c>
      <c r="C14" s="12">
        <v>8736.98</v>
      </c>
      <c r="D14" s="12">
        <v>3927.07</v>
      </c>
      <c r="E14" s="12">
        <v>11744.36</v>
      </c>
      <c r="F14" s="12">
        <v>0</v>
      </c>
      <c r="G14" s="12">
        <v>1713.55</v>
      </c>
      <c r="H14" s="12">
        <v>0</v>
      </c>
      <c r="I14" s="12">
        <v>2218.13</v>
      </c>
      <c r="J14" s="12">
        <v>0</v>
      </c>
      <c r="K14" s="12">
        <f>1421.1+0.5</f>
        <v>1421.6</v>
      </c>
      <c r="L14" s="12">
        <v>7187.71</v>
      </c>
      <c r="M14" s="12">
        <f t="shared" si="0"/>
        <v>36949.4</v>
      </c>
      <c r="N14" s="12">
        <v>3694.94</v>
      </c>
      <c r="O14" s="12">
        <v>2305.87</v>
      </c>
      <c r="P14" s="12">
        <v>672</v>
      </c>
      <c r="Q14" s="12">
        <v>5473.14</v>
      </c>
      <c r="R14" s="12">
        <v>8590.0400000000009</v>
      </c>
      <c r="S14" s="12">
        <v>5555.02</v>
      </c>
      <c r="T14" s="12">
        <f t="shared" si="1"/>
        <v>63240.41</v>
      </c>
    </row>
    <row r="15" spans="1:20" x14ac:dyDescent="0.25">
      <c r="A15" s="5" t="s">
        <v>37</v>
      </c>
      <c r="B15" s="18">
        <v>20</v>
      </c>
      <c r="C15" s="12">
        <v>1151.05</v>
      </c>
      <c r="D15" s="12">
        <v>3802.25</v>
      </c>
      <c r="E15" s="12">
        <f>3299.26+222.82</f>
        <v>3522.0800000000004</v>
      </c>
      <c r="F15" s="12">
        <v>886.87</v>
      </c>
      <c r="G15" s="12">
        <v>311.37</v>
      </c>
      <c r="H15" s="12">
        <v>632.15</v>
      </c>
      <c r="I15" s="12">
        <v>188.7</v>
      </c>
      <c r="J15" s="12">
        <v>688.77</v>
      </c>
      <c r="K15" s="12">
        <v>0</v>
      </c>
      <c r="L15" s="12">
        <v>0</v>
      </c>
      <c r="M15" s="12">
        <f t="shared" si="0"/>
        <v>11183.240000000003</v>
      </c>
      <c r="N15" s="12">
        <v>1118.3599999999999</v>
      </c>
      <c r="O15" s="12">
        <v>700.22</v>
      </c>
      <c r="P15" s="12">
        <v>200</v>
      </c>
      <c r="Q15" s="12">
        <v>1702.83</v>
      </c>
      <c r="R15" s="12">
        <v>2600.37</v>
      </c>
      <c r="S15" s="12">
        <v>2160.1999999999998</v>
      </c>
      <c r="T15" s="12">
        <f t="shared" si="1"/>
        <v>19665.220000000005</v>
      </c>
    </row>
    <row r="16" spans="1:20" x14ac:dyDescent="0.25">
      <c r="A16" s="5" t="s">
        <v>38</v>
      </c>
      <c r="B16" s="18">
        <v>147</v>
      </c>
      <c r="C16" s="12">
        <v>8135.85</v>
      </c>
      <c r="D16" s="12">
        <v>6779.65</v>
      </c>
      <c r="E16" s="12">
        <v>26761.39</v>
      </c>
      <c r="F16" s="12">
        <v>4968.1099999999997</v>
      </c>
      <c r="G16" s="12">
        <v>5260.48</v>
      </c>
      <c r="H16" s="12">
        <v>4932.37</v>
      </c>
      <c r="I16" s="12">
        <v>1326.37</v>
      </c>
      <c r="J16" s="12">
        <v>0</v>
      </c>
      <c r="K16" s="12">
        <v>66.680000000000007</v>
      </c>
      <c r="L16" s="12">
        <v>0</v>
      </c>
      <c r="M16" s="12">
        <f t="shared" si="0"/>
        <v>58230.9</v>
      </c>
      <c r="N16" s="12">
        <v>5810.54</v>
      </c>
      <c r="O16" s="12">
        <v>3617.59</v>
      </c>
      <c r="P16" s="12">
        <v>735</v>
      </c>
      <c r="Q16" s="12">
        <v>8312.32</v>
      </c>
      <c r="R16" s="12">
        <v>13531.41</v>
      </c>
      <c r="S16" s="12">
        <v>8235.7000000000007</v>
      </c>
      <c r="T16" s="12">
        <f t="shared" si="1"/>
        <v>98473.46</v>
      </c>
    </row>
    <row r="17" spans="1:20" x14ac:dyDescent="0.25">
      <c r="A17" s="5" t="s">
        <v>149</v>
      </c>
      <c r="B17" s="18" t="s">
        <v>39</v>
      </c>
      <c r="C17" s="12">
        <v>10957.58</v>
      </c>
      <c r="D17" s="12">
        <v>10745.02</v>
      </c>
      <c r="E17" s="12">
        <v>43012.71</v>
      </c>
      <c r="F17" s="12">
        <v>6277.32</v>
      </c>
      <c r="G17" s="12">
        <v>2686.49</v>
      </c>
      <c r="H17" s="12">
        <v>3768.4</v>
      </c>
      <c r="I17" s="12">
        <v>893.18</v>
      </c>
      <c r="J17" s="12">
        <v>0</v>
      </c>
      <c r="K17" s="12">
        <v>9.94</v>
      </c>
      <c r="L17" s="12">
        <v>670.72</v>
      </c>
      <c r="M17" s="12">
        <f t="shared" si="0"/>
        <v>79021.36</v>
      </c>
      <c r="N17" s="12">
        <v>0</v>
      </c>
      <c r="O17" s="12">
        <v>0</v>
      </c>
      <c r="P17" s="12"/>
      <c r="Q17" s="12">
        <v>10485.39</v>
      </c>
      <c r="R17" s="12">
        <v>15836.59</v>
      </c>
      <c r="S17" s="12">
        <f>7777.14+1421.77+891.51</f>
        <v>10090.42</v>
      </c>
      <c r="T17" s="12">
        <f t="shared" si="1"/>
        <v>115433.76</v>
      </c>
    </row>
    <row r="18" spans="1:20" x14ac:dyDescent="0.25">
      <c r="A18" s="5" t="s">
        <v>40</v>
      </c>
      <c r="B18" s="18">
        <v>246</v>
      </c>
      <c r="C18" s="12">
        <v>44147.46</v>
      </c>
      <c r="D18" s="12">
        <v>33624.79</v>
      </c>
      <c r="E18" s="12">
        <v>199496.4</v>
      </c>
      <c r="F18" s="12">
        <v>26721.96</v>
      </c>
      <c r="G18" s="12">
        <v>8675.76</v>
      </c>
      <c r="H18" s="12">
        <v>3615.18</v>
      </c>
      <c r="I18" s="12">
        <v>0</v>
      </c>
      <c r="J18" s="12">
        <v>0</v>
      </c>
      <c r="K18" s="12">
        <f>2284.16+4137.26+9791.85+13445.08</f>
        <v>29658.35</v>
      </c>
      <c r="L18" s="12">
        <v>0</v>
      </c>
      <c r="M18" s="12">
        <f t="shared" si="0"/>
        <v>345939.9</v>
      </c>
      <c r="N18" s="12">
        <v>33854.660000000003</v>
      </c>
      <c r="O18" s="12">
        <v>18236.689999999999</v>
      </c>
      <c r="P18" s="12">
        <v>3444</v>
      </c>
      <c r="Q18" s="12">
        <v>51737.05</v>
      </c>
      <c r="R18" s="12">
        <v>84563.56</v>
      </c>
      <c r="S18" s="12">
        <v>45931.519999999997</v>
      </c>
      <c r="T18" s="12">
        <f t="shared" si="1"/>
        <v>583707.38000000012</v>
      </c>
    </row>
    <row r="19" spans="1:20" x14ac:dyDescent="0.25">
      <c r="A19" s="5" t="s">
        <v>41</v>
      </c>
      <c r="B19" s="18">
        <v>41</v>
      </c>
      <c r="C19" s="12">
        <v>2711.7449999999999</v>
      </c>
      <c r="D19" s="12">
        <v>1911.54</v>
      </c>
      <c r="E19" s="12">
        <v>8379.73</v>
      </c>
      <c r="F19" s="12">
        <v>1506.61</v>
      </c>
      <c r="G19" s="12">
        <v>500.17</v>
      </c>
      <c r="H19" s="12">
        <v>1150.32</v>
      </c>
      <c r="I19" s="12">
        <v>0</v>
      </c>
      <c r="J19" s="12">
        <v>2008.55</v>
      </c>
      <c r="K19" s="12">
        <v>4.83</v>
      </c>
      <c r="L19" s="12">
        <f>61.9+6.05+55+99.75</f>
        <v>222.7</v>
      </c>
      <c r="M19" s="12">
        <f t="shared" si="0"/>
        <v>18396.195000000003</v>
      </c>
      <c r="N19" s="12">
        <v>1839.62</v>
      </c>
      <c r="O19" s="12">
        <v>1155.06</v>
      </c>
      <c r="P19" s="12">
        <v>0</v>
      </c>
      <c r="Q19" s="12">
        <f>841.81+2023.58</f>
        <v>2865.39</v>
      </c>
      <c r="R19" s="12">
        <f>4278.18+82</f>
        <v>4360.18</v>
      </c>
      <c r="S19" s="12">
        <f>2139.09+410</f>
        <v>2549.09</v>
      </c>
      <c r="T19" s="12">
        <f t="shared" si="1"/>
        <v>31165.535000000003</v>
      </c>
    </row>
    <row r="20" spans="1:20" x14ac:dyDescent="0.25">
      <c r="A20" s="5" t="s">
        <v>42</v>
      </c>
      <c r="B20" s="18">
        <v>26</v>
      </c>
      <c r="C20" s="12">
        <v>1845.19</v>
      </c>
      <c r="D20" s="12">
        <v>1512.44</v>
      </c>
      <c r="E20" s="12">
        <v>5114.43</v>
      </c>
      <c r="F20" s="12">
        <v>635.25</v>
      </c>
      <c r="G20" s="12">
        <v>529.41</v>
      </c>
      <c r="H20" s="12">
        <v>453.73</v>
      </c>
      <c r="I20" s="12">
        <v>0</v>
      </c>
      <c r="J20" s="12">
        <v>0</v>
      </c>
      <c r="K20" s="12">
        <v>0</v>
      </c>
      <c r="L20" s="12">
        <v>831.89</v>
      </c>
      <c r="M20" s="12">
        <f t="shared" si="0"/>
        <v>10922.34</v>
      </c>
      <c r="N20" s="12">
        <v>1092.23</v>
      </c>
      <c r="O20" s="12">
        <v>682.8</v>
      </c>
      <c r="P20" s="12">
        <v>156</v>
      </c>
      <c r="Q20" s="12">
        <f>1201.66+440.33</f>
        <v>1641.99</v>
      </c>
      <c r="R20" s="12">
        <v>2591.4899999999998</v>
      </c>
      <c r="S20" s="12">
        <v>1529.74</v>
      </c>
      <c r="T20" s="12">
        <f t="shared" si="1"/>
        <v>18616.59</v>
      </c>
    </row>
    <row r="21" spans="1:20" x14ac:dyDescent="0.25">
      <c r="A21" s="5" t="s">
        <v>43</v>
      </c>
      <c r="B21" s="18">
        <v>178</v>
      </c>
      <c r="C21" s="12">
        <v>10730.29</v>
      </c>
      <c r="D21" s="12">
        <v>10466.57</v>
      </c>
      <c r="E21" s="12">
        <v>23809.85</v>
      </c>
      <c r="F21" s="12">
        <v>3782.37</v>
      </c>
      <c r="G21" s="12">
        <v>2462.71</v>
      </c>
      <c r="H21" s="12">
        <v>1363.53</v>
      </c>
      <c r="I21" s="12">
        <v>439.97</v>
      </c>
      <c r="J21" s="12">
        <v>0</v>
      </c>
      <c r="K21" s="12">
        <f>2.52+2575.58</f>
        <v>2578.1</v>
      </c>
      <c r="L21" s="12">
        <v>0</v>
      </c>
      <c r="M21" s="12">
        <f t="shared" si="0"/>
        <v>55633.39</v>
      </c>
      <c r="N21" s="12">
        <v>5563.46</v>
      </c>
      <c r="O21" s="12">
        <v>3505.77</v>
      </c>
      <c r="P21" s="12">
        <v>533</v>
      </c>
      <c r="Q21" s="12">
        <f>6119.69+2266.61</f>
        <v>8386.2999999999993</v>
      </c>
      <c r="R21" s="12">
        <f>12940.5+88.83</f>
        <v>13029.33</v>
      </c>
      <c r="S21" s="12">
        <f>1776.66+6470.32</f>
        <v>8246.98</v>
      </c>
      <c r="T21" s="12">
        <f t="shared" si="1"/>
        <v>94898.23</v>
      </c>
    </row>
    <row r="22" spans="1:20" x14ac:dyDescent="0.25">
      <c r="A22" s="5" t="s">
        <v>44</v>
      </c>
      <c r="B22" s="18">
        <v>324</v>
      </c>
      <c r="C22" s="12">
        <v>40143.57</v>
      </c>
      <c r="D22" s="12">
        <v>41913.97</v>
      </c>
      <c r="E22" s="12">
        <v>122981.73</v>
      </c>
      <c r="F22" s="12">
        <v>23562.3</v>
      </c>
      <c r="G22" s="12">
        <v>6861.77</v>
      </c>
      <c r="H22" s="12">
        <v>7862.14</v>
      </c>
      <c r="I22" s="12">
        <v>911.96</v>
      </c>
      <c r="J22" s="12">
        <v>0</v>
      </c>
      <c r="K22" s="12">
        <v>11615.29</v>
      </c>
      <c r="L22" s="12">
        <v>4833.43</v>
      </c>
      <c r="M22" s="12">
        <f t="shared" si="0"/>
        <v>260686.16</v>
      </c>
      <c r="N22" s="12">
        <v>26068.83</v>
      </c>
      <c r="O22" s="12">
        <v>12956.38</v>
      </c>
      <c r="P22" s="12">
        <v>3564</v>
      </c>
      <c r="Q22" s="12">
        <v>37813.03</v>
      </c>
      <c r="R22" s="12">
        <v>60579.96</v>
      </c>
      <c r="S22" s="12">
        <v>43935.79</v>
      </c>
      <c r="T22" s="12">
        <f t="shared" si="1"/>
        <v>445604.15</v>
      </c>
    </row>
    <row r="23" spans="1:20" x14ac:dyDescent="0.25">
      <c r="A23" s="5" t="s">
        <v>45</v>
      </c>
      <c r="B23" s="18">
        <v>14</v>
      </c>
      <c r="C23" s="12">
        <v>698.44</v>
      </c>
      <c r="D23" s="12">
        <v>910.27</v>
      </c>
      <c r="E23" s="12">
        <v>2805.18</v>
      </c>
      <c r="F23" s="12">
        <v>0</v>
      </c>
      <c r="G23" s="12">
        <v>183.21</v>
      </c>
      <c r="H23" s="12">
        <v>360.68</v>
      </c>
      <c r="I23" s="12">
        <v>114.5</v>
      </c>
      <c r="J23" s="12">
        <v>435.1</v>
      </c>
      <c r="K23" s="12">
        <v>4.62</v>
      </c>
      <c r="L23" s="12">
        <v>24.04</v>
      </c>
      <c r="M23" s="12">
        <f t="shared" si="0"/>
        <v>5536.04</v>
      </c>
      <c r="N23" s="12">
        <v>553.61</v>
      </c>
      <c r="O23" s="12">
        <v>347.43</v>
      </c>
      <c r="P23" s="12">
        <v>182</v>
      </c>
      <c r="Q23" s="12">
        <v>858.77</v>
      </c>
      <c r="R23" s="12">
        <v>1287.42</v>
      </c>
      <c r="S23" s="12">
        <v>853.72</v>
      </c>
      <c r="T23" s="12">
        <f t="shared" si="1"/>
        <v>9618.99</v>
      </c>
    </row>
    <row r="24" spans="1:20" x14ac:dyDescent="0.25">
      <c r="A24" s="5" t="s">
        <v>46</v>
      </c>
      <c r="B24" s="18">
        <v>25</v>
      </c>
      <c r="C24" s="12">
        <v>2001.78</v>
      </c>
      <c r="D24" s="12">
        <v>738.36</v>
      </c>
      <c r="E24" s="12">
        <v>8843.91</v>
      </c>
      <c r="F24" s="12">
        <v>1542.35</v>
      </c>
      <c r="G24" s="12">
        <v>886.02</v>
      </c>
      <c r="H24" s="12">
        <v>0</v>
      </c>
      <c r="I24" s="12">
        <v>0</v>
      </c>
      <c r="J24" s="12">
        <v>0</v>
      </c>
      <c r="K24" s="12">
        <f>883.08+1.24</f>
        <v>884.32</v>
      </c>
      <c r="L24" s="12">
        <v>341.5</v>
      </c>
      <c r="M24" s="12">
        <f t="shared" si="0"/>
        <v>15238.24</v>
      </c>
      <c r="N24" s="12">
        <v>1523.82</v>
      </c>
      <c r="O24" s="12">
        <v>569.91</v>
      </c>
      <c r="P24" s="12">
        <v>200</v>
      </c>
      <c r="Q24" s="12">
        <v>2235.25</v>
      </c>
      <c r="R24" s="12">
        <v>3466.41</v>
      </c>
      <c r="S24" s="12">
        <v>2108.19</v>
      </c>
      <c r="T24" s="12">
        <f t="shared" si="1"/>
        <v>25341.82</v>
      </c>
    </row>
    <row r="25" spans="1:20" x14ac:dyDescent="0.25">
      <c r="A25" s="5" t="s">
        <v>47</v>
      </c>
      <c r="B25" s="18">
        <v>170</v>
      </c>
      <c r="C25" s="12">
        <v>9862.1</v>
      </c>
      <c r="D25" s="12">
        <v>5902.4</v>
      </c>
      <c r="E25" s="12">
        <v>37509.49</v>
      </c>
      <c r="F25" s="12">
        <v>0</v>
      </c>
      <c r="G25" s="12">
        <v>2425.33</v>
      </c>
      <c r="H25" s="12">
        <v>3069.85</v>
      </c>
      <c r="I25" s="12">
        <v>0</v>
      </c>
      <c r="J25" s="12">
        <v>6144.25</v>
      </c>
      <c r="K25" s="12">
        <v>54.33</v>
      </c>
      <c r="L25" s="12">
        <v>0</v>
      </c>
      <c r="M25" s="12">
        <f t="shared" si="0"/>
        <v>64967.75</v>
      </c>
      <c r="N25" s="12">
        <v>6496.78</v>
      </c>
      <c r="O25" s="12">
        <v>4074.74</v>
      </c>
      <c r="P25" s="12">
        <v>850</v>
      </c>
      <c r="Q25" s="12">
        <f>2883.86+7146.46</f>
        <v>10030.32</v>
      </c>
      <c r="R25" s="12">
        <f>15107.86+340</f>
        <v>15447.86</v>
      </c>
      <c r="S25" s="12">
        <f>7553.93+1700</f>
        <v>9253.93</v>
      </c>
      <c r="T25" s="12">
        <f t="shared" si="1"/>
        <v>111121.38</v>
      </c>
    </row>
    <row r="26" spans="1:20" x14ac:dyDescent="0.25">
      <c r="A26" s="5" t="s">
        <v>48</v>
      </c>
      <c r="B26" s="18">
        <v>31</v>
      </c>
      <c r="C26" s="12">
        <v>1933.59</v>
      </c>
      <c r="D26" s="12">
        <v>1046.04</v>
      </c>
      <c r="E26" s="12">
        <v>6276.21</v>
      </c>
      <c r="F26" s="12">
        <v>1267.92</v>
      </c>
      <c r="G26" s="12">
        <v>681.51</v>
      </c>
      <c r="H26" s="12">
        <v>263.11</v>
      </c>
      <c r="I26" s="12">
        <v>221.88</v>
      </c>
      <c r="J26" s="12">
        <v>348.69</v>
      </c>
      <c r="K26" s="12">
        <v>34.049999999999997</v>
      </c>
      <c r="L26" s="12">
        <v>966.79</v>
      </c>
      <c r="M26" s="12">
        <f t="shared" si="0"/>
        <v>13039.79</v>
      </c>
      <c r="N26" s="12">
        <v>1304</v>
      </c>
      <c r="O26" s="12">
        <v>654.76</v>
      </c>
      <c r="P26" s="12">
        <v>0</v>
      </c>
      <c r="Q26" s="12">
        <f>591.45+1434.39</f>
        <v>2025.8400000000001</v>
      </c>
      <c r="R26" s="12">
        <f>2999.77+31</f>
        <v>3030.77</v>
      </c>
      <c r="S26" s="12">
        <f>1499.85+310+1271</f>
        <v>3080.85</v>
      </c>
      <c r="T26" s="12">
        <f t="shared" si="1"/>
        <v>23136.01</v>
      </c>
    </row>
    <row r="27" spans="1:20" x14ac:dyDescent="0.25">
      <c r="A27" s="5" t="s">
        <v>49</v>
      </c>
      <c r="B27" s="18">
        <v>309</v>
      </c>
      <c r="C27" s="12">
        <v>33662.81</v>
      </c>
      <c r="D27" s="12">
        <v>47866.47</v>
      </c>
      <c r="E27" s="12">
        <v>104205</v>
      </c>
      <c r="F27" s="12">
        <v>0</v>
      </c>
      <c r="G27" s="12">
        <v>4950.24</v>
      </c>
      <c r="H27" s="12">
        <v>6327.76</v>
      </c>
      <c r="I27" s="12">
        <v>1098.44</v>
      </c>
      <c r="J27" s="12">
        <v>0</v>
      </c>
      <c r="K27" s="12">
        <f>4.41+857.96</f>
        <v>862.37</v>
      </c>
      <c r="L27" s="12">
        <v>1037.23</v>
      </c>
      <c r="M27" s="12">
        <f t="shared" si="0"/>
        <v>200010.32</v>
      </c>
      <c r="N27" s="12">
        <v>20001.04</v>
      </c>
      <c r="O27" s="12">
        <v>16050.75</v>
      </c>
      <c r="P27" s="12">
        <v>0</v>
      </c>
      <c r="Q27" s="12">
        <f>7902.55+22001.14</f>
        <v>29903.69</v>
      </c>
      <c r="R27" s="12">
        <f>47212.42+618</f>
        <v>47830.42</v>
      </c>
      <c r="S27" s="12">
        <f>4017+3090+23606.21</f>
        <v>30713.21</v>
      </c>
      <c r="T27" s="12">
        <f t="shared" si="1"/>
        <v>344509.43</v>
      </c>
    </row>
    <row r="28" spans="1:20" x14ac:dyDescent="0.25">
      <c r="A28" s="5" t="s">
        <v>50</v>
      </c>
      <c r="B28" s="18">
        <v>112</v>
      </c>
      <c r="C28" s="12">
        <v>13256.57</v>
      </c>
      <c r="D28" s="12">
        <v>9235.98</v>
      </c>
      <c r="E28" s="12">
        <v>53566.75</v>
      </c>
      <c r="F28" s="12">
        <v>7170.59</v>
      </c>
      <c r="G28" s="12">
        <v>4346.3900000000003</v>
      </c>
      <c r="H28" s="12">
        <v>2390.2399999999998</v>
      </c>
      <c r="I28" s="12">
        <v>0</v>
      </c>
      <c r="J28" s="12">
        <v>0</v>
      </c>
      <c r="K28" s="12">
        <v>0</v>
      </c>
      <c r="L28" s="12">
        <v>0</v>
      </c>
      <c r="M28" s="12">
        <f t="shared" si="0"/>
        <v>89966.52</v>
      </c>
      <c r="N28" s="12">
        <v>8996.66</v>
      </c>
      <c r="O28" s="12">
        <v>5585.44</v>
      </c>
      <c r="P28" s="12">
        <v>0</v>
      </c>
      <c r="Q28" s="12">
        <v>12775.71</v>
      </c>
      <c r="R28" s="12">
        <v>20909.72</v>
      </c>
      <c r="S28" s="12">
        <v>10764.86</v>
      </c>
      <c r="T28" s="12">
        <f t="shared" si="1"/>
        <v>148998.91000000003</v>
      </c>
    </row>
    <row r="29" spans="1:20" x14ac:dyDescent="0.25">
      <c r="A29" s="5" t="s">
        <v>51</v>
      </c>
      <c r="B29" s="18">
        <v>85</v>
      </c>
      <c r="C29" s="12">
        <v>8178.51</v>
      </c>
      <c r="D29" s="12">
        <v>5295.96</v>
      </c>
      <c r="E29" s="12">
        <v>36468.120000000003</v>
      </c>
      <c r="F29" s="12">
        <v>4357.55</v>
      </c>
      <c r="G29" s="12">
        <v>4022.22</v>
      </c>
      <c r="H29" s="12">
        <v>2681.48</v>
      </c>
      <c r="I29" s="12">
        <v>804.44</v>
      </c>
      <c r="J29" s="12">
        <v>0</v>
      </c>
      <c r="K29" s="12">
        <v>19.739999999999998</v>
      </c>
      <c r="L29" s="12">
        <v>0</v>
      </c>
      <c r="M29" s="12">
        <f t="shared" si="0"/>
        <v>61828.020000000011</v>
      </c>
      <c r="N29" s="12">
        <v>6139.47</v>
      </c>
      <c r="O29" s="12">
        <v>3113.84</v>
      </c>
      <c r="P29" s="12">
        <v>340</v>
      </c>
      <c r="Q29" s="12">
        <f>6793.08+2786.84</f>
        <v>9579.92</v>
      </c>
      <c r="R29" s="12">
        <v>14208.91</v>
      </c>
      <c r="S29" s="12">
        <f>850+7104.43</f>
        <v>7954.43</v>
      </c>
      <c r="T29" s="12">
        <f t="shared" si="1"/>
        <v>103164.59</v>
      </c>
    </row>
    <row r="30" spans="1:20" x14ac:dyDescent="0.25">
      <c r="A30" s="5" t="s">
        <v>52</v>
      </c>
      <c r="B30" s="18">
        <v>31</v>
      </c>
      <c r="C30" s="12">
        <v>2740.7</v>
      </c>
      <c r="D30" s="12">
        <v>1302.95</v>
      </c>
      <c r="E30" s="12">
        <v>8626.41</v>
      </c>
      <c r="F30" s="12">
        <v>494.24</v>
      </c>
      <c r="G30" s="12">
        <v>561.63</v>
      </c>
      <c r="H30" s="12">
        <v>862.63</v>
      </c>
      <c r="I30" s="12">
        <v>339.24</v>
      </c>
      <c r="J30" s="12">
        <v>0</v>
      </c>
      <c r="K30" s="12">
        <v>1.34</v>
      </c>
      <c r="L30" s="12">
        <v>0</v>
      </c>
      <c r="M30" s="12">
        <f t="shared" si="0"/>
        <v>14929.139999999998</v>
      </c>
      <c r="N30" s="12">
        <v>1492.94</v>
      </c>
      <c r="O30" s="12">
        <v>939.33</v>
      </c>
      <c r="P30" s="12">
        <v>28</v>
      </c>
      <c r="Q30" s="12">
        <f>1642.21+694.37</f>
        <v>2336.58</v>
      </c>
      <c r="R30" s="12">
        <f>3472.33+62</f>
        <v>3534.33</v>
      </c>
      <c r="S30" s="12">
        <f>310+1736.18</f>
        <v>2046.18</v>
      </c>
      <c r="T30" s="12">
        <f t="shared" si="1"/>
        <v>25306.5</v>
      </c>
    </row>
    <row r="31" spans="1:20" x14ac:dyDescent="0.25">
      <c r="A31" s="5" t="s">
        <v>53</v>
      </c>
      <c r="B31" s="18">
        <v>22</v>
      </c>
      <c r="C31" s="12">
        <v>1584.65</v>
      </c>
      <c r="D31" s="12">
        <v>1558.68</v>
      </c>
      <c r="E31" s="12">
        <v>5922.97</v>
      </c>
      <c r="F31" s="12">
        <v>649.46</v>
      </c>
      <c r="G31" s="12">
        <v>389.68</v>
      </c>
      <c r="H31" s="12">
        <v>441.63</v>
      </c>
      <c r="I31" s="12">
        <v>0</v>
      </c>
      <c r="J31" s="12">
        <v>0</v>
      </c>
      <c r="K31" s="12">
        <v>1.1000000000000001</v>
      </c>
      <c r="L31" s="12">
        <v>0</v>
      </c>
      <c r="M31" s="12">
        <f t="shared" si="0"/>
        <v>10548.169999999998</v>
      </c>
      <c r="N31" s="12">
        <v>1054.83</v>
      </c>
      <c r="O31" s="12">
        <v>662.24</v>
      </c>
      <c r="P31" s="12">
        <v>0</v>
      </c>
      <c r="Q31" s="12">
        <f>1160.31+481.24</f>
        <v>1641.55</v>
      </c>
      <c r="R31" s="12">
        <f>2453.05+44</f>
        <v>2497.0500000000002</v>
      </c>
      <c r="S31" s="12">
        <f>220+1226.54</f>
        <v>1446.54</v>
      </c>
      <c r="T31" s="12">
        <f t="shared" si="1"/>
        <v>17850.379999999997</v>
      </c>
    </row>
    <row r="32" spans="1:20" x14ac:dyDescent="0.25">
      <c r="A32" s="5" t="s">
        <v>150</v>
      </c>
      <c r="B32" s="18">
        <v>29</v>
      </c>
      <c r="C32" s="12">
        <v>1616.88</v>
      </c>
      <c r="D32" s="12">
        <v>812.65</v>
      </c>
      <c r="E32" s="12">
        <v>4439.82</v>
      </c>
      <c r="F32" s="12">
        <v>927.72</v>
      </c>
      <c r="G32" s="12">
        <v>331.35</v>
      </c>
      <c r="H32" s="12">
        <v>781.95</v>
      </c>
      <c r="I32" s="12">
        <v>344.59</v>
      </c>
      <c r="J32" s="12">
        <v>689.16</v>
      </c>
      <c r="K32" s="12">
        <v>28.12</v>
      </c>
      <c r="L32" s="12">
        <v>0</v>
      </c>
      <c r="M32" s="12">
        <f t="shared" si="0"/>
        <v>9972.2400000000016</v>
      </c>
      <c r="N32" s="12">
        <v>0</v>
      </c>
      <c r="O32" s="12">
        <v>0</v>
      </c>
      <c r="P32" s="12">
        <v>0</v>
      </c>
      <c r="Q32" s="12">
        <f>923.25+380.32</f>
        <v>1303.57</v>
      </c>
      <c r="R32" s="12">
        <f>58+1953.85</f>
        <v>2011.85</v>
      </c>
      <c r="S32" s="12">
        <f>976.92+290</f>
        <v>1266.92</v>
      </c>
      <c r="T32" s="12">
        <f t="shared" si="1"/>
        <v>14554.580000000002</v>
      </c>
    </row>
    <row r="33" spans="1:20" x14ac:dyDescent="0.25">
      <c r="A33" s="5" t="s">
        <v>54</v>
      </c>
      <c r="B33" s="18">
        <v>145</v>
      </c>
      <c r="C33" s="12">
        <v>12530.88</v>
      </c>
      <c r="D33" s="12">
        <v>13968.86</v>
      </c>
      <c r="E33" s="12">
        <v>33087.019999999997</v>
      </c>
      <c r="F33" s="12">
        <v>6263.08</v>
      </c>
      <c r="G33" s="12">
        <v>3595.23</v>
      </c>
      <c r="H33" s="12">
        <v>924.49</v>
      </c>
      <c r="I33" s="12">
        <v>0</v>
      </c>
      <c r="J33" s="12">
        <v>0</v>
      </c>
      <c r="K33" s="12">
        <v>0</v>
      </c>
      <c r="L33" s="12">
        <v>0</v>
      </c>
      <c r="M33" s="12">
        <f t="shared" si="0"/>
        <v>70369.56</v>
      </c>
      <c r="N33" s="12">
        <v>7036.96</v>
      </c>
      <c r="O33" s="12">
        <v>4354.12</v>
      </c>
      <c r="P33" s="12">
        <v>0</v>
      </c>
      <c r="Q33" s="12">
        <f>9675.78+290</f>
        <v>9965.7800000000007</v>
      </c>
      <c r="R33" s="12">
        <v>16352.13</v>
      </c>
      <c r="S33" s="12">
        <v>12091.06</v>
      </c>
      <c r="T33" s="12">
        <f t="shared" si="1"/>
        <v>120169.61</v>
      </c>
    </row>
    <row r="34" spans="1:20" x14ac:dyDescent="0.25">
      <c r="A34" s="5" t="s">
        <v>55</v>
      </c>
      <c r="B34" s="18">
        <v>10</v>
      </c>
      <c r="C34" s="12">
        <v>914.03</v>
      </c>
      <c r="D34" s="12">
        <v>951.48</v>
      </c>
      <c r="E34" s="12">
        <v>2891.91</v>
      </c>
      <c r="F34" s="12">
        <v>419.55</v>
      </c>
      <c r="G34" s="12">
        <v>0</v>
      </c>
      <c r="H34" s="12">
        <v>0</v>
      </c>
      <c r="I34" s="12">
        <v>0</v>
      </c>
      <c r="J34" s="12">
        <v>501.96</v>
      </c>
      <c r="K34" s="12">
        <v>225</v>
      </c>
      <c r="L34" s="12">
        <v>0</v>
      </c>
      <c r="M34" s="12">
        <f t="shared" si="0"/>
        <v>5903.93</v>
      </c>
      <c r="N34" s="12">
        <v>590.4</v>
      </c>
      <c r="O34" s="12">
        <v>369.92</v>
      </c>
      <c r="P34" s="12">
        <v>0</v>
      </c>
      <c r="Q34" s="12">
        <v>903.84</v>
      </c>
      <c r="R34" s="12">
        <v>1382.85</v>
      </c>
      <c r="S34" s="12">
        <v>786.41</v>
      </c>
      <c r="T34" s="12">
        <f t="shared" si="1"/>
        <v>9937.35</v>
      </c>
    </row>
    <row r="35" spans="1:20" x14ac:dyDescent="0.25">
      <c r="A35" s="5" t="s">
        <v>56</v>
      </c>
      <c r="B35" s="18">
        <v>22</v>
      </c>
      <c r="C35" s="12">
        <v>999.37</v>
      </c>
      <c r="D35" s="12">
        <v>951.6</v>
      </c>
      <c r="E35" s="12">
        <v>3242.41</v>
      </c>
      <c r="F35" s="12">
        <v>0</v>
      </c>
      <c r="G35" s="12">
        <v>245.75</v>
      </c>
      <c r="H35" s="12">
        <v>536.13</v>
      </c>
      <c r="I35" s="12">
        <v>433.94</v>
      </c>
      <c r="J35" s="12">
        <v>769.62</v>
      </c>
      <c r="K35" s="12">
        <v>6.36</v>
      </c>
      <c r="L35" s="12">
        <v>0</v>
      </c>
      <c r="M35" s="12">
        <f t="shared" si="0"/>
        <v>7185.1799999999994</v>
      </c>
      <c r="N35" s="12">
        <v>718.54</v>
      </c>
      <c r="O35" s="12">
        <v>542.28</v>
      </c>
      <c r="P35" s="12">
        <v>0</v>
      </c>
      <c r="Q35" s="12">
        <v>1134.18</v>
      </c>
      <c r="R35" s="12">
        <v>1689.2</v>
      </c>
      <c r="S35" s="12">
        <v>1174.5999999999999</v>
      </c>
      <c r="T35" s="12">
        <f t="shared" si="1"/>
        <v>12443.980000000001</v>
      </c>
    </row>
    <row r="36" spans="1:20" x14ac:dyDescent="0.25">
      <c r="A36" s="5" t="s">
        <v>57</v>
      </c>
      <c r="B36" s="18">
        <v>60</v>
      </c>
      <c r="C36" s="12">
        <v>4818.41</v>
      </c>
      <c r="D36" s="12">
        <v>3061.75</v>
      </c>
      <c r="E36" s="12">
        <v>17750.64</v>
      </c>
      <c r="F36" s="12">
        <v>4957.6499999999996</v>
      </c>
      <c r="G36" s="12">
        <v>3150.89</v>
      </c>
      <c r="H36" s="12">
        <v>2548.4</v>
      </c>
      <c r="I36" s="12">
        <v>589.21</v>
      </c>
      <c r="J36" s="12">
        <v>3957.21</v>
      </c>
      <c r="K36" s="12">
        <v>13.65</v>
      </c>
      <c r="L36" s="12">
        <v>12.5</v>
      </c>
      <c r="M36" s="12">
        <f t="shared" si="0"/>
        <v>40860.31</v>
      </c>
      <c r="N36" s="12">
        <v>4086.06</v>
      </c>
      <c r="O36" s="12">
        <v>2562.17</v>
      </c>
      <c r="P36" s="12">
        <v>300</v>
      </c>
      <c r="Q36" s="12">
        <v>6297.03</v>
      </c>
      <c r="R36" s="12">
        <v>9621.7000000000007</v>
      </c>
      <c r="S36" s="12">
        <v>5650.85</v>
      </c>
      <c r="T36" s="12">
        <f t="shared" si="1"/>
        <v>69378.12</v>
      </c>
    </row>
    <row r="37" spans="1:20" x14ac:dyDescent="0.25">
      <c r="A37" s="5" t="s">
        <v>58</v>
      </c>
      <c r="B37" s="18">
        <v>773</v>
      </c>
      <c r="C37" s="12">
        <v>137149</v>
      </c>
      <c r="D37" s="12">
        <v>89865.61</v>
      </c>
      <c r="E37" s="12">
        <v>705122.75</v>
      </c>
      <c r="F37" s="12">
        <v>0</v>
      </c>
      <c r="G37" s="12">
        <v>31443.59</v>
      </c>
      <c r="H37" s="12">
        <v>3594.04</v>
      </c>
      <c r="I37" s="12">
        <v>448.71</v>
      </c>
      <c r="J37" s="12">
        <v>0</v>
      </c>
      <c r="K37" s="12">
        <v>0</v>
      </c>
      <c r="L37" s="12">
        <f>161175.09+67379.61</f>
        <v>228554.7</v>
      </c>
      <c r="M37" s="12">
        <f t="shared" si="0"/>
        <v>1196178.3999999999</v>
      </c>
      <c r="N37" s="12">
        <v>119618.12</v>
      </c>
      <c r="O37" s="12">
        <v>59874.91</v>
      </c>
      <c r="P37" s="12">
        <v>28453</v>
      </c>
      <c r="Q37" s="12">
        <v>154758.21</v>
      </c>
      <c r="R37" s="12">
        <v>276674.36</v>
      </c>
      <c r="S37" s="12">
        <v>149112.59</v>
      </c>
      <c r="T37" s="12">
        <f t="shared" si="1"/>
        <v>1984669.59</v>
      </c>
    </row>
    <row r="38" spans="1:20" x14ac:dyDescent="0.25">
      <c r="A38" s="5" t="s">
        <v>59</v>
      </c>
      <c r="B38" s="18">
        <v>49</v>
      </c>
      <c r="C38" s="12">
        <v>2913.86</v>
      </c>
      <c r="D38" s="12">
        <v>3821.44</v>
      </c>
      <c r="E38" s="12">
        <v>9816.33</v>
      </c>
      <c r="F38" s="12">
        <v>1576.35</v>
      </c>
      <c r="G38" s="12">
        <v>1074.8</v>
      </c>
      <c r="H38" s="12">
        <v>859.83</v>
      </c>
      <c r="I38" s="12">
        <v>167.17</v>
      </c>
      <c r="J38" s="12">
        <v>1074.8</v>
      </c>
      <c r="K38" s="12">
        <v>6.22</v>
      </c>
      <c r="L38" s="12">
        <v>55.48</v>
      </c>
      <c r="M38" s="12">
        <f t="shared" si="0"/>
        <v>21366.28</v>
      </c>
      <c r="N38" s="12">
        <v>2136.64</v>
      </c>
      <c r="O38" s="12">
        <v>1337.32</v>
      </c>
      <c r="P38" s="12">
        <v>588</v>
      </c>
      <c r="Q38" s="12">
        <v>3243.4</v>
      </c>
      <c r="R38" s="12">
        <v>5079.7700000000004</v>
      </c>
      <c r="S38" s="12">
        <v>3219.02</v>
      </c>
      <c r="T38" s="12">
        <f t="shared" si="1"/>
        <v>36970.43</v>
      </c>
    </row>
    <row r="39" spans="1:20" x14ac:dyDescent="0.25">
      <c r="A39" s="5" t="s">
        <v>151</v>
      </c>
      <c r="B39" s="18" t="s">
        <v>39</v>
      </c>
      <c r="C39" s="12">
        <v>61649.71</v>
      </c>
      <c r="D39" s="12">
        <v>47518.32</v>
      </c>
      <c r="E39" s="12">
        <v>221352.95999999999</v>
      </c>
      <c r="F39" s="12">
        <v>26192.03</v>
      </c>
      <c r="G39" s="12">
        <v>16670.099999999999</v>
      </c>
      <c r="H39" s="12">
        <v>9117.49</v>
      </c>
      <c r="I39" s="12">
        <v>3464.87</v>
      </c>
      <c r="J39" s="12">
        <v>0</v>
      </c>
      <c r="K39" s="12">
        <v>35453.269999999997</v>
      </c>
      <c r="L39" s="12">
        <v>0</v>
      </c>
      <c r="M39" s="12">
        <f t="shared" si="0"/>
        <v>421418.75</v>
      </c>
      <c r="N39" s="12">
        <v>0</v>
      </c>
      <c r="O39" s="12">
        <v>0</v>
      </c>
      <c r="P39" s="12">
        <v>0</v>
      </c>
      <c r="Q39" s="12">
        <v>44148.69</v>
      </c>
      <c r="R39" s="12">
        <v>78573.31</v>
      </c>
      <c r="S39" s="12">
        <v>48000</v>
      </c>
      <c r="T39" s="12">
        <f t="shared" si="1"/>
        <v>592140.75</v>
      </c>
    </row>
    <row r="40" spans="1:20" x14ac:dyDescent="0.25">
      <c r="A40" s="5" t="s">
        <v>60</v>
      </c>
      <c r="B40" s="18">
        <v>312</v>
      </c>
      <c r="C40" s="12">
        <v>41489.279999999999</v>
      </c>
      <c r="D40" s="12">
        <v>52370.77</v>
      </c>
      <c r="E40" s="12">
        <v>179347.02</v>
      </c>
      <c r="F40" s="12">
        <v>30544.36</v>
      </c>
      <c r="G40" s="12">
        <v>13526.15</v>
      </c>
      <c r="H40" s="12">
        <v>4385.16</v>
      </c>
      <c r="I40" s="12">
        <v>2696.07</v>
      </c>
      <c r="J40" s="12">
        <v>0</v>
      </c>
      <c r="K40" s="12">
        <v>0</v>
      </c>
      <c r="L40" s="12">
        <v>0</v>
      </c>
      <c r="M40" s="12">
        <f t="shared" si="0"/>
        <v>324358.80999999994</v>
      </c>
      <c r="N40" s="12">
        <v>32437.08</v>
      </c>
      <c r="O40" s="12">
        <v>16000.84</v>
      </c>
      <c r="P40" s="12">
        <v>1560</v>
      </c>
      <c r="Q40" s="12">
        <v>45374.67</v>
      </c>
      <c r="R40" s="12">
        <v>74785.87</v>
      </c>
      <c r="S40" s="12">
        <v>41761.17</v>
      </c>
      <c r="T40" s="12">
        <f t="shared" si="1"/>
        <v>536278.43999999994</v>
      </c>
    </row>
    <row r="41" spans="1:20" x14ac:dyDescent="0.25">
      <c r="A41" s="5" t="s">
        <v>61</v>
      </c>
      <c r="B41" s="18">
        <v>45</v>
      </c>
      <c r="C41" s="12">
        <v>1770.5</v>
      </c>
      <c r="D41" s="12">
        <v>1921.47</v>
      </c>
      <c r="E41" s="12">
        <v>9879.02</v>
      </c>
      <c r="F41" s="12">
        <v>1063.6300000000001</v>
      </c>
      <c r="G41" s="12">
        <v>578.64</v>
      </c>
      <c r="H41" s="12">
        <v>763.69</v>
      </c>
      <c r="I41" s="12">
        <v>359.93</v>
      </c>
      <c r="J41" s="12">
        <v>0</v>
      </c>
      <c r="K41" s="12">
        <v>1.4</v>
      </c>
      <c r="L41" s="12">
        <v>258.63</v>
      </c>
      <c r="M41" s="12">
        <f t="shared" si="0"/>
        <v>16596.910000000003</v>
      </c>
      <c r="N41" s="12">
        <v>1659.72</v>
      </c>
      <c r="O41" s="12">
        <v>1803.51</v>
      </c>
      <c r="P41" s="12">
        <v>224</v>
      </c>
      <c r="Q41" s="12">
        <f>1720.01+639.3</f>
        <v>2359.31</v>
      </c>
      <c r="R41" s="12">
        <f>4012.02+76.28</f>
        <v>4088.3</v>
      </c>
      <c r="S41" s="12">
        <f>450+2006.01</f>
        <v>2456.0100000000002</v>
      </c>
      <c r="T41" s="12">
        <f t="shared" si="1"/>
        <v>29187.760000000002</v>
      </c>
    </row>
    <row r="42" spans="1:20" x14ac:dyDescent="0.25">
      <c r="A42" s="5" t="s">
        <v>62</v>
      </c>
      <c r="B42" s="18">
        <v>44</v>
      </c>
      <c r="C42" s="12">
        <v>3933.87</v>
      </c>
      <c r="D42" s="12">
        <v>2697.96</v>
      </c>
      <c r="E42" s="12">
        <v>19194.55</v>
      </c>
      <c r="F42" s="12">
        <v>3300.33</v>
      </c>
      <c r="G42" s="12">
        <v>1590.01</v>
      </c>
      <c r="H42" s="12">
        <v>1417.32</v>
      </c>
      <c r="I42" s="12">
        <v>246.19</v>
      </c>
      <c r="J42" s="12">
        <v>0</v>
      </c>
      <c r="K42" s="12">
        <f>461.95+2.28</f>
        <v>464.22999999999996</v>
      </c>
      <c r="L42" s="12">
        <v>2340.59</v>
      </c>
      <c r="M42" s="12">
        <f t="shared" si="0"/>
        <v>35185.050000000003</v>
      </c>
      <c r="N42" s="12">
        <v>3518.51</v>
      </c>
      <c r="O42" s="12">
        <v>1923.48</v>
      </c>
      <c r="P42" s="12">
        <v>308</v>
      </c>
      <c r="Q42" s="12">
        <v>5914.57</v>
      </c>
      <c r="R42" s="12">
        <v>8907.27</v>
      </c>
      <c r="S42" s="12">
        <v>5069.67</v>
      </c>
      <c r="T42" s="12">
        <f t="shared" si="1"/>
        <v>60826.55</v>
      </c>
    </row>
    <row r="43" spans="1:20" x14ac:dyDescent="0.25">
      <c r="A43" s="5" t="s">
        <v>63</v>
      </c>
      <c r="B43" s="18">
        <v>114</v>
      </c>
      <c r="C43" s="12">
        <v>7414.33</v>
      </c>
      <c r="D43" s="12">
        <v>4833.75</v>
      </c>
      <c r="E43" s="12">
        <v>37134.93</v>
      </c>
      <c r="F43" s="12">
        <v>4062.34</v>
      </c>
      <c r="G43" s="12">
        <v>2415.27</v>
      </c>
      <c r="H43" s="12">
        <v>2245.9</v>
      </c>
      <c r="I43" s="12">
        <v>499.89</v>
      </c>
      <c r="J43" s="12">
        <v>0</v>
      </c>
      <c r="K43" s="12">
        <v>3482.57</v>
      </c>
      <c r="L43" s="12">
        <v>2345.46</v>
      </c>
      <c r="M43" s="12">
        <f t="shared" si="0"/>
        <v>64434.44</v>
      </c>
      <c r="N43" s="12">
        <v>6443.45</v>
      </c>
      <c r="O43" s="12">
        <v>3238.19</v>
      </c>
      <c r="P43" s="12">
        <v>684</v>
      </c>
      <c r="Q43" s="12">
        <v>9934.86</v>
      </c>
      <c r="R43" s="12">
        <v>15087.24</v>
      </c>
      <c r="S43" s="12">
        <v>9139.6299999999992</v>
      </c>
      <c r="T43" s="12">
        <f t="shared" si="1"/>
        <v>108961.81000000001</v>
      </c>
    </row>
    <row r="44" spans="1:20" x14ac:dyDescent="0.25">
      <c r="A44" s="5" t="s">
        <v>64</v>
      </c>
      <c r="B44" s="18">
        <v>69</v>
      </c>
      <c r="C44" s="12">
        <v>5558.58</v>
      </c>
      <c r="D44" s="12">
        <v>6604.75</v>
      </c>
      <c r="E44" s="12">
        <v>24963.73</v>
      </c>
      <c r="F44" s="12">
        <v>3124.61</v>
      </c>
      <c r="G44" s="12">
        <v>1275.73</v>
      </c>
      <c r="H44" s="12">
        <v>1406.38</v>
      </c>
      <c r="I44" s="12">
        <v>455.62</v>
      </c>
      <c r="J44" s="12">
        <v>0</v>
      </c>
      <c r="K44" s="12">
        <v>2.5499999999999998</v>
      </c>
      <c r="L44" s="12">
        <v>636.04</v>
      </c>
      <c r="M44" s="12">
        <f t="shared" si="0"/>
        <v>44027.990000000005</v>
      </c>
      <c r="N44" s="12">
        <v>4402.82</v>
      </c>
      <c r="O44" s="12">
        <v>2743.08</v>
      </c>
      <c r="P44" s="12">
        <v>345</v>
      </c>
      <c r="Q44" s="12">
        <v>6430.89</v>
      </c>
      <c r="R44" s="12">
        <v>10372.780000000001</v>
      </c>
      <c r="S44" s="12">
        <v>6152.39</v>
      </c>
      <c r="T44" s="12">
        <f t="shared" si="1"/>
        <v>74474.950000000012</v>
      </c>
    </row>
    <row r="45" spans="1:20" x14ac:dyDescent="0.25">
      <c r="A45" s="5" t="s">
        <v>65</v>
      </c>
      <c r="B45" s="18">
        <v>134</v>
      </c>
      <c r="C45" s="12">
        <v>8552.07</v>
      </c>
      <c r="D45" s="12">
        <v>6203.64</v>
      </c>
      <c r="E45" s="12">
        <v>17643.93</v>
      </c>
      <c r="F45" s="12">
        <v>3779.61</v>
      </c>
      <c r="G45" s="12">
        <v>2387.06</v>
      </c>
      <c r="H45" s="12">
        <v>0</v>
      </c>
      <c r="I45" s="12">
        <v>0</v>
      </c>
      <c r="J45" s="12">
        <v>0</v>
      </c>
      <c r="K45" s="12">
        <f>193.75+2.36+2840</f>
        <v>3036.11</v>
      </c>
      <c r="L45" s="12">
        <f>1432.21+42.38</f>
        <v>1474.5900000000001</v>
      </c>
      <c r="M45" s="12">
        <f t="shared" si="0"/>
        <v>43077.009999999995</v>
      </c>
      <c r="N45" s="12">
        <v>4307.7</v>
      </c>
      <c r="O45" s="12">
        <v>2687.23</v>
      </c>
      <c r="P45" s="12">
        <v>670</v>
      </c>
      <c r="Q45" s="12">
        <v>6359.83</v>
      </c>
      <c r="R45" s="12">
        <v>10282.39</v>
      </c>
      <c r="S45" s="12">
        <v>7017.19</v>
      </c>
      <c r="T45" s="12">
        <f t="shared" si="1"/>
        <v>74401.350000000006</v>
      </c>
    </row>
    <row r="46" spans="1:20" x14ac:dyDescent="0.25">
      <c r="A46" s="5" t="s">
        <v>66</v>
      </c>
      <c r="B46" s="18">
        <v>194</v>
      </c>
      <c r="C46" s="12">
        <v>11257.62</v>
      </c>
      <c r="D46" s="12">
        <v>5905.62</v>
      </c>
      <c r="E46" s="12">
        <v>39124.65</v>
      </c>
      <c r="F46" s="12">
        <v>4982.87</v>
      </c>
      <c r="G46" s="12">
        <v>2399.14</v>
      </c>
      <c r="H46" s="12">
        <v>2399.14</v>
      </c>
      <c r="I46" s="12">
        <v>0</v>
      </c>
      <c r="J46" s="12">
        <v>0</v>
      </c>
      <c r="K46" s="12">
        <f>341.37+23.94</f>
        <v>365.31</v>
      </c>
      <c r="L46" s="12">
        <v>3783.29</v>
      </c>
      <c r="M46" s="12">
        <f t="shared" si="0"/>
        <v>70217.64</v>
      </c>
      <c r="N46" s="12">
        <v>7021.87</v>
      </c>
      <c r="O46" s="12">
        <v>3524.57</v>
      </c>
      <c r="P46" s="12">
        <v>388</v>
      </c>
      <c r="Q46" s="12">
        <f>3175.39+7723.88</f>
        <v>10899.27</v>
      </c>
      <c r="R46" s="12">
        <f>16106.28+388</f>
        <v>16494.28</v>
      </c>
      <c r="S46" s="12">
        <f>970+8053.15+1940</f>
        <v>10963.15</v>
      </c>
      <c r="T46" s="12">
        <f t="shared" si="1"/>
        <v>119508.78</v>
      </c>
    </row>
    <row r="47" spans="1:20" x14ac:dyDescent="0.25">
      <c r="A47" s="5" t="s">
        <v>67</v>
      </c>
      <c r="B47" s="18">
        <v>15</v>
      </c>
      <c r="C47" s="12">
        <v>1065.42</v>
      </c>
      <c r="D47" s="12">
        <v>916.97</v>
      </c>
      <c r="E47" s="12">
        <v>3833.78</v>
      </c>
      <c r="F47" s="12">
        <v>550.19000000000005</v>
      </c>
      <c r="G47" s="12">
        <v>305.66000000000003</v>
      </c>
      <c r="H47" s="12">
        <v>344.97</v>
      </c>
      <c r="I47" s="12">
        <v>0</v>
      </c>
      <c r="J47" s="12">
        <v>873.3</v>
      </c>
      <c r="K47" s="12">
        <v>1.44</v>
      </c>
      <c r="L47" s="12">
        <v>0</v>
      </c>
      <c r="M47" s="12">
        <f t="shared" si="0"/>
        <v>7891.7300000000005</v>
      </c>
      <c r="N47" s="12">
        <v>789.2</v>
      </c>
      <c r="O47" s="12">
        <v>495.39</v>
      </c>
      <c r="P47" s="12">
        <v>0</v>
      </c>
      <c r="Q47" s="12">
        <f>868.1+358.41</f>
        <v>1226.51</v>
      </c>
      <c r="R47" s="12">
        <v>1835.26</v>
      </c>
      <c r="S47" s="12">
        <f>150+917.63</f>
        <v>1067.6300000000001</v>
      </c>
      <c r="T47" s="12">
        <f t="shared" si="1"/>
        <v>13305.720000000001</v>
      </c>
    </row>
    <row r="48" spans="1:20" x14ac:dyDescent="0.25">
      <c r="A48" s="5" t="s">
        <v>68</v>
      </c>
      <c r="B48" s="18">
        <v>218</v>
      </c>
      <c r="C48" s="12">
        <v>20598.3</v>
      </c>
      <c r="D48" s="12">
        <v>32642.720000000001</v>
      </c>
      <c r="E48" s="12">
        <v>117100.05</v>
      </c>
      <c r="F48" s="12">
        <v>16772.77</v>
      </c>
      <c r="G48" s="12">
        <v>6697.54</v>
      </c>
      <c r="H48" s="12">
        <v>2961.43</v>
      </c>
      <c r="I48" s="12">
        <v>0</v>
      </c>
      <c r="J48" s="12">
        <v>9958.3799999999992</v>
      </c>
      <c r="K48" s="12">
        <f>6382.49+1.82</f>
        <v>6384.3099999999995</v>
      </c>
      <c r="L48" s="12">
        <v>3689.12</v>
      </c>
      <c r="M48" s="12">
        <f t="shared" si="0"/>
        <v>216804.62</v>
      </c>
      <c r="N48" s="12">
        <v>21680.48</v>
      </c>
      <c r="O48" s="12">
        <v>13507.63</v>
      </c>
      <c r="P48" s="12">
        <v>1526</v>
      </c>
      <c r="Q48" s="12">
        <v>31667.58</v>
      </c>
      <c r="R48" s="12">
        <v>50834.55</v>
      </c>
      <c r="S48" s="12">
        <v>28469.27</v>
      </c>
      <c r="T48" s="12">
        <f t="shared" si="1"/>
        <v>364490.13</v>
      </c>
    </row>
    <row r="49" spans="1:20" x14ac:dyDescent="0.25">
      <c r="A49" s="5" t="s">
        <v>69</v>
      </c>
      <c r="B49" s="18">
        <v>21</v>
      </c>
      <c r="C49" s="12">
        <v>1332.46</v>
      </c>
      <c r="D49" s="12">
        <v>610.79999999999995</v>
      </c>
      <c r="E49" s="12">
        <v>6049.6</v>
      </c>
      <c r="F49" s="12">
        <v>1069.9000000000001</v>
      </c>
      <c r="G49" s="12">
        <v>299.97000000000003</v>
      </c>
      <c r="H49" s="12">
        <v>0</v>
      </c>
      <c r="I49" s="12">
        <v>0</v>
      </c>
      <c r="J49" s="12">
        <v>0</v>
      </c>
      <c r="K49" s="12">
        <v>3.54</v>
      </c>
      <c r="L49" s="12">
        <v>0</v>
      </c>
      <c r="M49" s="12">
        <f t="shared" si="0"/>
        <v>9366.27</v>
      </c>
      <c r="N49" s="12">
        <v>936.67</v>
      </c>
      <c r="O49" s="12">
        <v>709.86</v>
      </c>
      <c r="P49" s="12">
        <v>336</v>
      </c>
      <c r="Q49" s="12">
        <v>1257.94</v>
      </c>
      <c r="R49" s="12">
        <v>2202.56</v>
      </c>
      <c r="S49" s="12">
        <v>1427.27</v>
      </c>
      <c r="T49" s="12">
        <f t="shared" si="1"/>
        <v>16236.570000000002</v>
      </c>
    </row>
    <row r="50" spans="1:20" x14ac:dyDescent="0.25">
      <c r="A50" s="5" t="s">
        <v>70</v>
      </c>
      <c r="B50" s="18">
        <v>253</v>
      </c>
      <c r="C50" s="12">
        <v>37950.559999999998</v>
      </c>
      <c r="D50" s="12">
        <v>33907.230000000003</v>
      </c>
      <c r="E50" s="12">
        <f>162369.91+19751.33+2717.07</f>
        <v>184838.31</v>
      </c>
      <c r="F50" s="12">
        <v>0</v>
      </c>
      <c r="G50" s="12">
        <v>6221.13</v>
      </c>
      <c r="H50" s="12">
        <v>3421.98</v>
      </c>
      <c r="I50" s="12">
        <v>466.7</v>
      </c>
      <c r="J50" s="12">
        <v>0</v>
      </c>
      <c r="K50" s="12">
        <v>3768.21</v>
      </c>
      <c r="L50" s="12">
        <v>1352.7</v>
      </c>
      <c r="M50" s="12">
        <f t="shared" si="0"/>
        <v>271926.82</v>
      </c>
      <c r="N50" s="12">
        <v>26962.61</v>
      </c>
      <c r="O50" s="12">
        <v>16762.810000000001</v>
      </c>
      <c r="P50" s="12">
        <v>2530</v>
      </c>
      <c r="Q50" s="12">
        <f>29496.78+7044.3</f>
        <v>36541.08</v>
      </c>
      <c r="R50" s="12">
        <v>63337.24</v>
      </c>
      <c r="S50" s="12">
        <f>34078.79+1265</f>
        <v>35343.79</v>
      </c>
      <c r="T50" s="12">
        <f t="shared" si="1"/>
        <v>453404.35</v>
      </c>
    </row>
    <row r="51" spans="1:20" x14ac:dyDescent="0.25">
      <c r="A51" s="5" t="s">
        <v>71</v>
      </c>
      <c r="B51" s="18">
        <v>340</v>
      </c>
      <c r="C51" s="12">
        <v>15552.8</v>
      </c>
      <c r="D51" s="12">
        <v>40561.49</v>
      </c>
      <c r="E51" s="12">
        <v>41483.25</v>
      </c>
      <c r="F51" s="12">
        <v>8261.5400000000009</v>
      </c>
      <c r="G51" s="12">
        <v>5065.2</v>
      </c>
      <c r="H51" s="12">
        <v>8683.94</v>
      </c>
      <c r="I51" s="12">
        <v>1248.56</v>
      </c>
      <c r="J51" s="12">
        <v>0</v>
      </c>
      <c r="K51" s="12">
        <v>27.21</v>
      </c>
      <c r="L51" s="12">
        <v>0</v>
      </c>
      <c r="M51" s="12">
        <f t="shared" si="0"/>
        <v>120883.98999999999</v>
      </c>
      <c r="N51" s="12">
        <v>12088.4</v>
      </c>
      <c r="O51" s="12">
        <v>5551.16</v>
      </c>
      <c r="P51" s="12">
        <v>0</v>
      </c>
      <c r="Q51" s="12">
        <v>18871.759999999998</v>
      </c>
      <c r="R51" s="12">
        <v>28872.01</v>
      </c>
      <c r="S51" s="12">
        <v>26549.03</v>
      </c>
      <c r="T51" s="12">
        <f t="shared" si="1"/>
        <v>212816.35</v>
      </c>
    </row>
    <row r="52" spans="1:20" x14ac:dyDescent="0.25">
      <c r="A52" s="5" t="s">
        <v>72</v>
      </c>
      <c r="B52" s="18">
        <v>51</v>
      </c>
      <c r="C52" s="12">
        <v>5156.4399999999996</v>
      </c>
      <c r="D52" s="12">
        <v>4184.32</v>
      </c>
      <c r="E52" s="12">
        <v>17371.25</v>
      </c>
      <c r="F52" s="12">
        <v>2958.64</v>
      </c>
      <c r="G52" s="12">
        <v>2535.94</v>
      </c>
      <c r="H52" s="12">
        <v>1690.64</v>
      </c>
      <c r="I52" s="12">
        <v>380.4</v>
      </c>
      <c r="J52" s="12">
        <v>0</v>
      </c>
      <c r="K52" s="12">
        <v>2117.2600000000002</v>
      </c>
      <c r="L52" s="12">
        <v>0</v>
      </c>
      <c r="M52" s="12">
        <f t="shared" si="0"/>
        <v>36394.89</v>
      </c>
      <c r="N52" s="12">
        <v>3639.52</v>
      </c>
      <c r="O52" s="12">
        <v>1813.17</v>
      </c>
      <c r="P52" s="12">
        <v>612</v>
      </c>
      <c r="Q52" s="12">
        <f>4003.47+1291.37</f>
        <v>5294.84</v>
      </c>
      <c r="R52" s="12">
        <v>8471.5300000000007</v>
      </c>
      <c r="S52" s="12">
        <v>4694.76</v>
      </c>
      <c r="T52" s="12">
        <f t="shared" si="1"/>
        <v>60920.71</v>
      </c>
    </row>
    <row r="53" spans="1:20" x14ac:dyDescent="0.25">
      <c r="A53" s="5" t="s">
        <v>73</v>
      </c>
      <c r="B53" s="18">
        <v>50</v>
      </c>
      <c r="C53" s="12">
        <v>3689.55</v>
      </c>
      <c r="D53" s="12">
        <v>2987.03</v>
      </c>
      <c r="E53" s="12">
        <v>15576.09</v>
      </c>
      <c r="F53" s="12">
        <v>1781.24</v>
      </c>
      <c r="G53" s="12">
        <v>0</v>
      </c>
      <c r="H53" s="12">
        <v>0</v>
      </c>
      <c r="I53" s="12">
        <v>0</v>
      </c>
      <c r="J53" s="12">
        <v>2226.33</v>
      </c>
      <c r="K53" s="12">
        <v>3.1</v>
      </c>
      <c r="L53" s="12">
        <v>0</v>
      </c>
      <c r="M53" s="12">
        <f t="shared" si="0"/>
        <v>26263.339999999997</v>
      </c>
      <c r="N53" s="12">
        <v>2626.33</v>
      </c>
      <c r="O53" s="12">
        <v>1641.66</v>
      </c>
      <c r="P53" s="12">
        <v>517</v>
      </c>
      <c r="Q53" s="12">
        <v>3943.44</v>
      </c>
      <c r="R53" s="12">
        <v>6156.27</v>
      </c>
      <c r="S53" s="12">
        <v>3803.13</v>
      </c>
      <c r="T53" s="12">
        <f t="shared" si="1"/>
        <v>44951.169999999991</v>
      </c>
    </row>
    <row r="54" spans="1:20" x14ac:dyDescent="0.25">
      <c r="A54" s="5" t="s">
        <v>74</v>
      </c>
      <c r="B54" s="18">
        <v>168</v>
      </c>
      <c r="C54" s="12">
        <v>11644.41</v>
      </c>
      <c r="D54" s="12">
        <v>11268.35</v>
      </c>
      <c r="E54" s="12">
        <v>47722.8</v>
      </c>
      <c r="F54" s="12">
        <v>6585.9</v>
      </c>
      <c r="G54" s="12">
        <v>2481.63</v>
      </c>
      <c r="H54" s="12">
        <v>2386.36</v>
      </c>
      <c r="I54" s="12">
        <v>0</v>
      </c>
      <c r="J54" s="12">
        <v>0</v>
      </c>
      <c r="K54" s="12">
        <v>0</v>
      </c>
      <c r="L54" s="12">
        <v>0</v>
      </c>
      <c r="M54" s="12">
        <f t="shared" si="0"/>
        <v>82089.45</v>
      </c>
      <c r="N54" s="12">
        <v>8208.99</v>
      </c>
      <c r="O54" s="12">
        <v>5098.76</v>
      </c>
      <c r="P54" s="12">
        <v>1176</v>
      </c>
      <c r="Q54" s="12">
        <f>2656.75+9029.9</f>
        <v>11686.65</v>
      </c>
      <c r="R54" s="12">
        <f>19179.39+336</f>
        <v>19515.39</v>
      </c>
      <c r="S54" s="12">
        <f>840+9539.8+1680</f>
        <v>12059.8</v>
      </c>
      <c r="T54" s="12">
        <f t="shared" si="1"/>
        <v>139835.03999999998</v>
      </c>
    </row>
    <row r="55" spans="1:20" x14ac:dyDescent="0.25">
      <c r="A55" s="5" t="s">
        <v>75</v>
      </c>
      <c r="B55" s="18">
        <v>101</v>
      </c>
      <c r="C55" s="12">
        <v>8946.86</v>
      </c>
      <c r="D55" s="12">
        <v>8287.7199999999993</v>
      </c>
      <c r="E55" s="12">
        <v>42338.09</v>
      </c>
      <c r="F55" s="12">
        <v>4898.0600000000004</v>
      </c>
      <c r="G55" s="12">
        <v>0</v>
      </c>
      <c r="H55" s="12">
        <v>2699.5</v>
      </c>
      <c r="I55" s="12">
        <v>485.63</v>
      </c>
      <c r="J55" s="12">
        <v>0</v>
      </c>
      <c r="K55" s="12">
        <f>2.5+2230</f>
        <v>2232.5</v>
      </c>
      <c r="L55" s="12">
        <v>376.1</v>
      </c>
      <c r="M55" s="12">
        <f t="shared" si="0"/>
        <v>70264.460000000006</v>
      </c>
      <c r="N55" s="12">
        <v>7026.45</v>
      </c>
      <c r="O55" s="12">
        <v>3776.6</v>
      </c>
      <c r="P55" s="12">
        <v>909</v>
      </c>
      <c r="Q55" s="12">
        <f>11174.11+10784.03+202</f>
        <v>22160.14</v>
      </c>
      <c r="R55" s="12">
        <v>17605.72</v>
      </c>
      <c r="S55" s="12">
        <v>10519.87</v>
      </c>
      <c r="T55" s="12">
        <f t="shared" si="1"/>
        <v>132262.24000000002</v>
      </c>
    </row>
    <row r="56" spans="1:20" x14ac:dyDescent="0.25">
      <c r="A56" s="5" t="s">
        <v>76</v>
      </c>
      <c r="B56" s="18">
        <v>20</v>
      </c>
      <c r="C56" s="12">
        <v>1128.47</v>
      </c>
      <c r="D56" s="12">
        <v>1285.73</v>
      </c>
      <c r="E56" s="12">
        <v>4597.1400000000003</v>
      </c>
      <c r="F56" s="12">
        <v>0</v>
      </c>
      <c r="G56" s="12">
        <v>296</v>
      </c>
      <c r="H56" s="12">
        <v>499.48</v>
      </c>
      <c r="I56" s="12">
        <v>120.26</v>
      </c>
      <c r="J56" s="12">
        <v>0</v>
      </c>
      <c r="K56" s="12">
        <f>564.3+0.2</f>
        <v>564.5</v>
      </c>
      <c r="L56" s="12">
        <v>219.77</v>
      </c>
      <c r="M56" s="12">
        <f t="shared" si="0"/>
        <v>8711.35</v>
      </c>
      <c r="N56" s="12">
        <v>871.14</v>
      </c>
      <c r="O56" s="12">
        <v>545.24</v>
      </c>
      <c r="P56" s="12">
        <v>140</v>
      </c>
      <c r="Q56" s="12">
        <v>1322.29</v>
      </c>
      <c r="R56" s="12">
        <v>2072.36</v>
      </c>
      <c r="S56" s="12">
        <v>1312.76</v>
      </c>
      <c r="T56" s="12">
        <f t="shared" si="1"/>
        <v>14975.140000000001</v>
      </c>
    </row>
    <row r="57" spans="1:20" x14ac:dyDescent="0.25">
      <c r="A57" s="5" t="s">
        <v>158</v>
      </c>
      <c r="B57" s="18">
        <v>270</v>
      </c>
      <c r="C57" s="12">
        <v>20605.919999999998</v>
      </c>
      <c r="D57" s="12">
        <v>23656.15</v>
      </c>
      <c r="E57" s="12">
        <v>96974.67</v>
      </c>
      <c r="F57" s="12">
        <v>0</v>
      </c>
      <c r="G57" s="12">
        <v>4233</v>
      </c>
      <c r="H57" s="12">
        <v>0</v>
      </c>
      <c r="I57" s="12">
        <v>0</v>
      </c>
      <c r="J57" s="12">
        <v>0</v>
      </c>
      <c r="K57" s="12">
        <f>2434.57+4.01</f>
        <v>2438.5800000000004</v>
      </c>
      <c r="L57" s="12">
        <v>0</v>
      </c>
      <c r="M57" s="12">
        <f t="shared" si="0"/>
        <v>147908.31999999998</v>
      </c>
      <c r="N57" s="12">
        <v>15069.24</v>
      </c>
      <c r="O57" s="12">
        <v>10548.42</v>
      </c>
      <c r="P57" s="12">
        <v>2392.0700000000002</v>
      </c>
      <c r="Q57" s="12">
        <v>23041.24</v>
      </c>
      <c r="R57" s="12">
        <v>34779.72</v>
      </c>
      <c r="S57" s="12">
        <f>2583.17+17041.91</f>
        <v>19625.080000000002</v>
      </c>
      <c r="T57" s="12">
        <f t="shared" si="1"/>
        <v>253364.08999999997</v>
      </c>
    </row>
    <row r="58" spans="1:20" x14ac:dyDescent="0.25">
      <c r="A58" s="5" t="s">
        <v>77</v>
      </c>
      <c r="B58" s="18">
        <v>45</v>
      </c>
      <c r="C58" s="12">
        <v>2797.01</v>
      </c>
      <c r="D58" s="12">
        <v>1460.65</v>
      </c>
      <c r="E58" s="12">
        <v>12731.57</v>
      </c>
      <c r="F58" s="12">
        <v>2925.92</v>
      </c>
      <c r="G58" s="12">
        <v>1090.03</v>
      </c>
      <c r="H58" s="12">
        <v>1102.8</v>
      </c>
      <c r="I58" s="12">
        <v>577.34</v>
      </c>
      <c r="J58" s="12">
        <v>1199.07</v>
      </c>
      <c r="K58" s="12">
        <v>25.95</v>
      </c>
      <c r="L58" s="12">
        <v>0</v>
      </c>
      <c r="M58" s="12">
        <f t="shared" si="0"/>
        <v>23910.34</v>
      </c>
      <c r="N58" s="12">
        <v>2346.0700000000002</v>
      </c>
      <c r="O58" s="12">
        <v>1500.75</v>
      </c>
      <c r="P58" s="12">
        <v>0</v>
      </c>
      <c r="Q58" s="12">
        <f>1082.99+2630.13</f>
        <v>3713.12</v>
      </c>
      <c r="R58" s="12">
        <f>5455.86+45</f>
        <v>5500.86</v>
      </c>
      <c r="S58" s="12">
        <f>440+2727.92</f>
        <v>3167.92</v>
      </c>
      <c r="T58" s="12">
        <f t="shared" si="1"/>
        <v>40139.06</v>
      </c>
    </row>
    <row r="59" spans="1:20" x14ac:dyDescent="0.25">
      <c r="A59" s="5" t="s">
        <v>78</v>
      </c>
      <c r="B59" s="18">
        <v>2641</v>
      </c>
      <c r="C59" s="12">
        <v>453947.67</v>
      </c>
      <c r="D59" s="12">
        <v>466904.94</v>
      </c>
      <c r="E59" s="12">
        <v>2509350.65</v>
      </c>
      <c r="F59" s="12">
        <v>0</v>
      </c>
      <c r="G59" s="12">
        <v>0</v>
      </c>
      <c r="H59" s="12">
        <v>0</v>
      </c>
      <c r="I59" s="12">
        <v>0</v>
      </c>
      <c r="J59" s="12">
        <v>0</v>
      </c>
      <c r="K59" s="12">
        <v>251346.79</v>
      </c>
      <c r="L59" s="12">
        <v>415319.69</v>
      </c>
      <c r="M59" s="12">
        <f t="shared" si="0"/>
        <v>4096869.7399999998</v>
      </c>
      <c r="N59" s="12">
        <v>408783.67</v>
      </c>
      <c r="O59" s="12">
        <v>202552.85</v>
      </c>
      <c r="P59" s="12">
        <v>105820.79</v>
      </c>
      <c r="Q59" s="12">
        <f>106651.82+450601.68</f>
        <v>557253.5</v>
      </c>
      <c r="R59" s="12">
        <f>941543.33+5291.6</f>
        <v>946834.92999999993</v>
      </c>
      <c r="S59" s="12">
        <f>13219+470786.79+26458+73543.78</f>
        <v>584007.56999999995</v>
      </c>
      <c r="T59" s="12">
        <f t="shared" si="1"/>
        <v>6902123.0499999998</v>
      </c>
    </row>
    <row r="60" spans="1:20" x14ac:dyDescent="0.25">
      <c r="A60" s="5" t="s">
        <v>79</v>
      </c>
      <c r="B60" s="18">
        <v>313</v>
      </c>
      <c r="C60" s="12">
        <v>57040.959999999999</v>
      </c>
      <c r="D60" s="12">
        <v>29716.85</v>
      </c>
      <c r="E60" s="12">
        <v>281217.17</v>
      </c>
      <c r="F60" s="12">
        <v>31545.17</v>
      </c>
      <c r="G60" s="12">
        <v>8756.58</v>
      </c>
      <c r="H60" s="12">
        <v>0</v>
      </c>
      <c r="I60" s="12">
        <v>0</v>
      </c>
      <c r="J60" s="12">
        <v>0</v>
      </c>
      <c r="K60" s="12">
        <f>10293.92+5052.31</f>
        <v>15346.23</v>
      </c>
      <c r="L60" s="12">
        <v>0</v>
      </c>
      <c r="M60" s="12">
        <f t="shared" si="0"/>
        <v>423622.95999999996</v>
      </c>
      <c r="N60" s="12">
        <v>38086.99</v>
      </c>
      <c r="O60" s="12">
        <v>21401.89</v>
      </c>
      <c r="P60" s="12">
        <v>0</v>
      </c>
      <c r="Q60" s="12">
        <v>51362.400000000001</v>
      </c>
      <c r="R60" s="12">
        <v>89446.14</v>
      </c>
      <c r="S60" s="12">
        <v>47329.54</v>
      </c>
      <c r="T60" s="12">
        <f t="shared" si="1"/>
        <v>671249.92000000004</v>
      </c>
    </row>
    <row r="61" spans="1:20" x14ac:dyDescent="0.25">
      <c r="A61" s="5" t="s">
        <v>80</v>
      </c>
      <c r="B61" s="18">
        <v>163</v>
      </c>
      <c r="C61" s="12">
        <v>10038.01</v>
      </c>
      <c r="D61" s="12">
        <v>7153.92</v>
      </c>
      <c r="E61" s="12">
        <v>35367.53</v>
      </c>
      <c r="F61" s="12">
        <v>6947.93</v>
      </c>
      <c r="G61" s="12">
        <v>3288.91</v>
      </c>
      <c r="H61" s="12">
        <v>2050.21</v>
      </c>
      <c r="I61" s="12">
        <v>575.67999999999995</v>
      </c>
      <c r="J61" s="12">
        <v>0</v>
      </c>
      <c r="K61" s="12">
        <f>16.88+1886</f>
        <v>1902.88</v>
      </c>
      <c r="L61" s="12">
        <v>0</v>
      </c>
      <c r="M61" s="12">
        <f t="shared" si="0"/>
        <v>67325.070000000007</v>
      </c>
      <c r="N61" s="12">
        <v>6732.52</v>
      </c>
      <c r="O61" s="12">
        <v>4222.3999999999996</v>
      </c>
      <c r="P61" s="12">
        <v>978</v>
      </c>
      <c r="Q61" s="12">
        <v>10390.459999999999</v>
      </c>
      <c r="R61" s="12">
        <v>15818.99</v>
      </c>
      <c r="S61" s="12">
        <v>10273</v>
      </c>
      <c r="T61" s="12">
        <f t="shared" si="1"/>
        <v>115740.44000000002</v>
      </c>
    </row>
    <row r="62" spans="1:20" x14ac:dyDescent="0.25">
      <c r="A62" s="5" t="s">
        <v>81</v>
      </c>
      <c r="B62" s="18">
        <v>688</v>
      </c>
      <c r="C62" s="12">
        <v>74742.84</v>
      </c>
      <c r="D62" s="12">
        <v>90671.31</v>
      </c>
      <c r="E62" s="12">
        <v>457673.7</v>
      </c>
      <c r="F62" s="12">
        <v>69156.13</v>
      </c>
      <c r="G62" s="12">
        <v>12252.9</v>
      </c>
      <c r="H62" s="12">
        <v>5514.04</v>
      </c>
      <c r="I62" s="12">
        <v>0</v>
      </c>
      <c r="J62" s="12">
        <v>0</v>
      </c>
      <c r="K62" s="12">
        <v>29947.7</v>
      </c>
      <c r="L62" s="12">
        <v>19604.79</v>
      </c>
      <c r="M62" s="12">
        <f t="shared" si="0"/>
        <v>759563.41</v>
      </c>
      <c r="N62" s="12">
        <v>75959.72</v>
      </c>
      <c r="O62" s="12">
        <v>39037.550000000003</v>
      </c>
      <c r="P62" s="12">
        <v>15824</v>
      </c>
      <c r="Q62" s="12">
        <v>104562.76</v>
      </c>
      <c r="R62" s="12">
        <v>176288.2</v>
      </c>
      <c r="S62" s="12">
        <v>113577.55</v>
      </c>
      <c r="T62" s="12">
        <f t="shared" si="1"/>
        <v>1284813.1900000002</v>
      </c>
    </row>
    <row r="63" spans="1:20" x14ac:dyDescent="0.25">
      <c r="A63" s="5" t="s">
        <v>82</v>
      </c>
      <c r="B63" s="18">
        <v>127</v>
      </c>
      <c r="C63" s="12">
        <v>3511.7</v>
      </c>
      <c r="D63" s="12">
        <v>3320.2</v>
      </c>
      <c r="E63" s="12">
        <v>14315.99</v>
      </c>
      <c r="F63" s="12">
        <v>0</v>
      </c>
      <c r="G63" s="12">
        <v>886.56</v>
      </c>
      <c r="H63" s="12">
        <v>1035.8800000000001</v>
      </c>
      <c r="I63" s="12">
        <v>313.91000000000003</v>
      </c>
      <c r="J63" s="12">
        <v>0</v>
      </c>
      <c r="K63" s="12">
        <v>16.010000000000002</v>
      </c>
      <c r="L63" s="12">
        <v>0</v>
      </c>
      <c r="M63" s="12">
        <f t="shared" si="0"/>
        <v>23400.25</v>
      </c>
      <c r="N63" s="12">
        <v>2340.06</v>
      </c>
      <c r="O63" s="12">
        <v>1468.4</v>
      </c>
      <c r="P63" s="12">
        <v>635</v>
      </c>
      <c r="Q63" s="12">
        <v>3627.71</v>
      </c>
      <c r="R63" s="12">
        <v>5497.62</v>
      </c>
      <c r="S63" s="12">
        <v>4625.87</v>
      </c>
      <c r="T63" s="12">
        <f t="shared" si="1"/>
        <v>41594.910000000003</v>
      </c>
    </row>
    <row r="64" spans="1:20" x14ac:dyDescent="0.25">
      <c r="A64" s="5" t="s">
        <v>83</v>
      </c>
      <c r="B64" s="18">
        <v>175</v>
      </c>
      <c r="C64" s="12">
        <v>12127.28</v>
      </c>
      <c r="D64" s="12">
        <v>10783.66</v>
      </c>
      <c r="E64" s="12">
        <v>38056.92</v>
      </c>
      <c r="F64" s="12">
        <v>5641.13</v>
      </c>
      <c r="G64" s="12">
        <v>3893.41</v>
      </c>
      <c r="H64" s="12">
        <v>3370.98</v>
      </c>
      <c r="I64" s="12">
        <v>1430.65</v>
      </c>
      <c r="J64" s="12">
        <v>4650.07</v>
      </c>
      <c r="K64" s="12">
        <f>646.96+9.08</f>
        <v>656.04000000000008</v>
      </c>
      <c r="L64" s="12">
        <v>0</v>
      </c>
      <c r="M64" s="12">
        <f t="shared" si="0"/>
        <v>80610.14</v>
      </c>
      <c r="N64" s="12">
        <v>8061.03</v>
      </c>
      <c r="O64" s="12">
        <v>5058.9799999999996</v>
      </c>
      <c r="P64" s="12">
        <v>875</v>
      </c>
      <c r="Q64" s="12">
        <v>12508.34</v>
      </c>
      <c r="R64" s="12">
        <v>19148.53</v>
      </c>
      <c r="S64" s="12">
        <v>11998.02</v>
      </c>
      <c r="T64" s="12">
        <f t="shared" si="1"/>
        <v>138260.03999999998</v>
      </c>
    </row>
    <row r="65" spans="1:20" x14ac:dyDescent="0.25">
      <c r="A65" s="5" t="s">
        <v>84</v>
      </c>
      <c r="B65" s="18">
        <v>39</v>
      </c>
      <c r="C65" s="12">
        <v>3376.18</v>
      </c>
      <c r="D65" s="12">
        <v>4787.54</v>
      </c>
      <c r="E65" s="12">
        <v>12563.77</v>
      </c>
      <c r="F65" s="12">
        <v>1383.68</v>
      </c>
      <c r="G65" s="12">
        <v>719.52</v>
      </c>
      <c r="H65" s="12">
        <v>996.25</v>
      </c>
      <c r="I65" s="12">
        <v>0</v>
      </c>
      <c r="J65" s="12">
        <v>0</v>
      </c>
      <c r="K65" s="12">
        <f>0.26+1376.25</f>
        <v>1376.51</v>
      </c>
      <c r="L65" s="12">
        <v>0</v>
      </c>
      <c r="M65" s="12">
        <f t="shared" si="0"/>
        <v>25203.449999999997</v>
      </c>
      <c r="N65" s="12">
        <v>2520.39</v>
      </c>
      <c r="O65" s="12">
        <v>1581.96</v>
      </c>
      <c r="P65" s="12">
        <v>273</v>
      </c>
      <c r="Q65" s="12">
        <f>2772.41+1142.5</f>
        <v>3914.91</v>
      </c>
      <c r="R65" s="12">
        <f>5861.13+39</f>
        <v>5900.13</v>
      </c>
      <c r="S65" s="12">
        <f>585+2930.61</f>
        <v>3515.61</v>
      </c>
      <c r="T65" s="12">
        <f t="shared" si="1"/>
        <v>42909.44999999999</v>
      </c>
    </row>
    <row r="66" spans="1:20" x14ac:dyDescent="0.25">
      <c r="A66" s="5" t="s">
        <v>85</v>
      </c>
      <c r="B66" s="18">
        <v>246</v>
      </c>
      <c r="C66" s="12">
        <v>28121.83</v>
      </c>
      <c r="D66" s="12">
        <v>14062.93</v>
      </c>
      <c r="E66" s="12">
        <v>94843.03</v>
      </c>
      <c r="F66" s="12">
        <v>18442.61</v>
      </c>
      <c r="G66" s="12">
        <v>9221.2999999999993</v>
      </c>
      <c r="H66" s="12">
        <v>4601.6499999999996</v>
      </c>
      <c r="I66" s="12">
        <v>922.09</v>
      </c>
      <c r="J66" s="12">
        <v>0</v>
      </c>
      <c r="K66" s="12">
        <v>793.74</v>
      </c>
      <c r="L66" s="12">
        <v>0</v>
      </c>
      <c r="M66" s="12">
        <f t="shared" si="0"/>
        <v>171009.18</v>
      </c>
      <c r="N66" s="12">
        <v>17103.38</v>
      </c>
      <c r="O66" s="12">
        <v>8522.8799999999992</v>
      </c>
      <c r="P66" s="12">
        <v>0</v>
      </c>
      <c r="Q66" s="12">
        <f>24946.97+492</f>
        <v>25438.97</v>
      </c>
      <c r="R66" s="12">
        <v>39330.480000000003</v>
      </c>
      <c r="S66" s="12">
        <v>19665.240000000002</v>
      </c>
      <c r="T66" s="12">
        <f t="shared" si="1"/>
        <v>281070.13</v>
      </c>
    </row>
    <row r="67" spans="1:20" x14ac:dyDescent="0.25">
      <c r="A67" s="5" t="s">
        <v>86</v>
      </c>
      <c r="B67" s="18">
        <v>49</v>
      </c>
      <c r="C67" s="12">
        <v>3288.52</v>
      </c>
      <c r="D67" s="12">
        <v>4671.8100000000004</v>
      </c>
      <c r="E67" s="12">
        <v>12448.06</v>
      </c>
      <c r="F67" s="12">
        <v>3852.09</v>
      </c>
      <c r="G67" s="12">
        <v>876.87</v>
      </c>
      <c r="H67" s="12">
        <v>1350.04</v>
      </c>
      <c r="I67" s="12">
        <v>537.28</v>
      </c>
      <c r="J67" s="12">
        <v>0</v>
      </c>
      <c r="K67" s="12">
        <f>110.94+23.31</f>
        <v>134.25</v>
      </c>
      <c r="L67" s="12">
        <v>480</v>
      </c>
      <c r="M67" s="12">
        <f t="shared" si="0"/>
        <v>27638.92</v>
      </c>
      <c r="N67" s="12">
        <v>2749.43</v>
      </c>
      <c r="O67" s="12">
        <v>1727.4</v>
      </c>
      <c r="P67" s="12">
        <v>441</v>
      </c>
      <c r="Q67" s="12">
        <v>4159.66</v>
      </c>
      <c r="R67" s="12">
        <v>6521.15</v>
      </c>
      <c r="S67" s="12">
        <v>3946.58</v>
      </c>
      <c r="T67" s="12">
        <f t="shared" si="1"/>
        <v>47184.140000000007</v>
      </c>
    </row>
    <row r="68" spans="1:20" x14ac:dyDescent="0.25">
      <c r="A68" s="5" t="s">
        <v>87</v>
      </c>
      <c r="B68" s="18">
        <v>19</v>
      </c>
      <c r="C68" s="12">
        <v>1255.42</v>
      </c>
      <c r="D68" s="12">
        <v>4940.43</v>
      </c>
      <c r="E68" s="12">
        <v>2778.4</v>
      </c>
      <c r="F68" s="12">
        <v>1049.6099999999999</v>
      </c>
      <c r="G68" s="12">
        <v>391.04</v>
      </c>
      <c r="H68" s="12">
        <v>535.1</v>
      </c>
      <c r="I68" s="12">
        <v>277.85000000000002</v>
      </c>
      <c r="J68" s="12">
        <v>0</v>
      </c>
      <c r="K68" s="12">
        <v>0</v>
      </c>
      <c r="L68" s="12">
        <v>0</v>
      </c>
      <c r="M68" s="12">
        <f t="shared" si="0"/>
        <v>11227.850000000002</v>
      </c>
      <c r="N68" s="12">
        <v>1122.79</v>
      </c>
      <c r="O68" s="12">
        <v>711.3</v>
      </c>
      <c r="P68" s="12">
        <v>190</v>
      </c>
      <c r="Q68" s="12">
        <f>1235.06+517.3</f>
        <v>1752.36</v>
      </c>
      <c r="R68" s="12">
        <v>2612.39</v>
      </c>
      <c r="S68" s="12">
        <f>1591.21+38</f>
        <v>1629.21</v>
      </c>
      <c r="T68" s="12">
        <f t="shared" si="1"/>
        <v>19245.900000000001</v>
      </c>
    </row>
    <row r="69" spans="1:20" x14ac:dyDescent="0.25">
      <c r="A69" s="5" t="s">
        <v>88</v>
      </c>
      <c r="B69" s="18">
        <v>85</v>
      </c>
      <c r="C69" s="12">
        <v>3507.16</v>
      </c>
      <c r="D69" s="12">
        <v>4288.6400000000003</v>
      </c>
      <c r="E69" s="12">
        <v>15411.94</v>
      </c>
      <c r="F69" s="12">
        <v>4073.61</v>
      </c>
      <c r="G69" s="12">
        <v>1147.2</v>
      </c>
      <c r="H69" s="12">
        <v>1863.82</v>
      </c>
      <c r="I69" s="12">
        <v>401.39</v>
      </c>
      <c r="J69" s="12">
        <v>0</v>
      </c>
      <c r="K69" s="12">
        <v>45.45</v>
      </c>
      <c r="L69" s="12">
        <v>25.08</v>
      </c>
      <c r="M69" s="12">
        <f t="shared" ref="M69:M123" si="2">SUM(C69:L69)</f>
        <v>30764.290000000005</v>
      </c>
      <c r="N69" s="12">
        <v>3076.44</v>
      </c>
      <c r="O69" s="12">
        <v>1544.82</v>
      </c>
      <c r="P69" s="12">
        <v>1615</v>
      </c>
      <c r="Q69" s="12">
        <f>1395.71+3384.07</f>
        <v>4779.7800000000007</v>
      </c>
      <c r="R69" s="12">
        <f>7077.11+170</f>
        <v>7247.11</v>
      </c>
      <c r="S69" s="12">
        <f>425+3538.56+850</f>
        <v>4813.5599999999995</v>
      </c>
      <c r="T69" s="12">
        <f t="shared" ref="T69:T122" si="3">SUM(M69:S69)</f>
        <v>53841</v>
      </c>
    </row>
    <row r="70" spans="1:20" x14ac:dyDescent="0.25">
      <c r="A70" s="5" t="s">
        <v>89</v>
      </c>
      <c r="B70" s="18">
        <v>103</v>
      </c>
      <c r="C70" s="12">
        <v>3964.97</v>
      </c>
      <c r="D70" s="12">
        <v>3522.31</v>
      </c>
      <c r="E70" s="12">
        <v>15645.9</v>
      </c>
      <c r="F70" s="12">
        <v>2287.11</v>
      </c>
      <c r="G70" s="12">
        <v>2382.48</v>
      </c>
      <c r="H70" s="12">
        <v>1490.76</v>
      </c>
      <c r="I70" s="12">
        <v>344.1</v>
      </c>
      <c r="J70" s="12">
        <v>0</v>
      </c>
      <c r="K70" s="12">
        <v>20.28</v>
      </c>
      <c r="L70" s="12">
        <v>0</v>
      </c>
      <c r="M70" s="12">
        <f t="shared" si="2"/>
        <v>29657.909999999996</v>
      </c>
      <c r="N70" s="12">
        <v>2965.8</v>
      </c>
      <c r="O70" s="12">
        <v>1861.06</v>
      </c>
      <c r="P70" s="12">
        <v>1236</v>
      </c>
      <c r="Q70" s="12">
        <v>4597.46</v>
      </c>
      <c r="R70" s="12">
        <v>6896.95</v>
      </c>
      <c r="S70" s="12">
        <v>4993.4799999999996</v>
      </c>
      <c r="T70" s="12">
        <f t="shared" si="3"/>
        <v>52208.659999999989</v>
      </c>
    </row>
    <row r="71" spans="1:20" x14ac:dyDescent="0.25">
      <c r="A71" s="5" t="s">
        <v>90</v>
      </c>
      <c r="B71" s="18">
        <v>46</v>
      </c>
      <c r="C71" s="12">
        <v>2795.52</v>
      </c>
      <c r="D71" s="12">
        <v>2978.82</v>
      </c>
      <c r="E71" s="12">
        <v>9348.9</v>
      </c>
      <c r="F71" s="12">
        <v>1214.46</v>
      </c>
      <c r="G71" s="12">
        <v>779.08</v>
      </c>
      <c r="H71" s="12">
        <v>1099.8599999999999</v>
      </c>
      <c r="I71" s="12">
        <v>0</v>
      </c>
      <c r="J71" s="12">
        <v>0</v>
      </c>
      <c r="K71" s="12">
        <f>36.87+1105.1</f>
        <v>1141.9699999999998</v>
      </c>
      <c r="L71" s="12">
        <v>0</v>
      </c>
      <c r="M71" s="12">
        <f t="shared" si="2"/>
        <v>19358.610000000004</v>
      </c>
      <c r="N71" s="12">
        <v>1935.95</v>
      </c>
      <c r="O71" s="12">
        <v>970.55</v>
      </c>
      <c r="P71" s="12">
        <v>90</v>
      </c>
      <c r="Q71" s="12">
        <f>2129.48+839.79</f>
        <v>2969.27</v>
      </c>
      <c r="R71" s="12">
        <f>4453.05+92</f>
        <v>4545.05</v>
      </c>
      <c r="S71" s="12">
        <f>460+2226.56</f>
        <v>2686.56</v>
      </c>
      <c r="T71" s="12">
        <f t="shared" si="3"/>
        <v>32555.990000000005</v>
      </c>
    </row>
    <row r="72" spans="1:20" x14ac:dyDescent="0.25">
      <c r="A72" s="5" t="s">
        <v>91</v>
      </c>
      <c r="B72" s="18">
        <v>82</v>
      </c>
      <c r="C72" s="12">
        <v>5564.98</v>
      </c>
      <c r="D72" s="12">
        <v>4190.53</v>
      </c>
      <c r="E72" s="12">
        <v>18473.97</v>
      </c>
      <c r="F72" s="12">
        <v>3101.78</v>
      </c>
      <c r="G72" s="12">
        <v>1824.58</v>
      </c>
      <c r="H72" s="12">
        <v>1779.03</v>
      </c>
      <c r="I72" s="12">
        <v>0</v>
      </c>
      <c r="J72" s="12">
        <v>1961.48</v>
      </c>
      <c r="K72" s="12">
        <v>2653.57</v>
      </c>
      <c r="L72" s="12">
        <v>0</v>
      </c>
      <c r="M72" s="12">
        <f t="shared" si="2"/>
        <v>39549.919999999998</v>
      </c>
      <c r="N72" s="12">
        <v>3955</v>
      </c>
      <c r="O72" s="12">
        <v>2465.33</v>
      </c>
      <c r="P72" s="12">
        <v>328</v>
      </c>
      <c r="Q72" s="12">
        <f>4350.49+1451.11</f>
        <v>5801.5999999999995</v>
      </c>
      <c r="R72" s="12">
        <f>9194.05+164</f>
        <v>9358.0499999999993</v>
      </c>
      <c r="S72" s="12">
        <f>820+4597.03</f>
        <v>5417.03</v>
      </c>
      <c r="T72" s="12">
        <f t="shared" si="3"/>
        <v>66874.929999999993</v>
      </c>
    </row>
    <row r="73" spans="1:20" x14ac:dyDescent="0.25">
      <c r="A73" s="5" t="s">
        <v>92</v>
      </c>
      <c r="B73" s="18">
        <v>47</v>
      </c>
      <c r="C73" s="12">
        <v>3228.02</v>
      </c>
      <c r="D73" s="12">
        <v>3148.67</v>
      </c>
      <c r="E73" s="12">
        <v>10160.24</v>
      </c>
      <c r="F73" s="12">
        <v>0</v>
      </c>
      <c r="G73" s="12">
        <v>793.77</v>
      </c>
      <c r="H73" s="12">
        <v>1217.1300000000001</v>
      </c>
      <c r="I73" s="12">
        <v>407.5</v>
      </c>
      <c r="J73" s="12">
        <v>0</v>
      </c>
      <c r="K73" s="12">
        <f>2061.84+9.52</f>
        <v>2071.36</v>
      </c>
      <c r="L73" s="12">
        <v>0</v>
      </c>
      <c r="M73" s="12">
        <f t="shared" si="2"/>
        <v>21026.690000000002</v>
      </c>
      <c r="N73" s="12">
        <v>2102.6999999999998</v>
      </c>
      <c r="O73" s="12">
        <v>1315.63</v>
      </c>
      <c r="P73" s="12">
        <v>0</v>
      </c>
      <c r="Q73" s="12">
        <f>2312.93+869.68</f>
        <v>3182.6099999999997</v>
      </c>
      <c r="R73" s="12">
        <v>4889.01</v>
      </c>
      <c r="S73" s="12">
        <f>470+2444.49</f>
        <v>2914.49</v>
      </c>
      <c r="T73" s="12">
        <f t="shared" si="3"/>
        <v>35431.130000000005</v>
      </c>
    </row>
    <row r="74" spans="1:20" x14ac:dyDescent="0.25">
      <c r="A74" s="5" t="s">
        <v>93</v>
      </c>
      <c r="B74" s="18">
        <v>49</v>
      </c>
      <c r="C74" s="12">
        <v>5384.57</v>
      </c>
      <c r="D74" s="12">
        <v>5737.66</v>
      </c>
      <c r="E74" s="12">
        <v>17803.349999999999</v>
      </c>
      <c r="F74" s="12">
        <v>3707.4</v>
      </c>
      <c r="G74" s="12">
        <v>882.71</v>
      </c>
      <c r="H74" s="12">
        <v>1787.59</v>
      </c>
      <c r="I74" s="12">
        <v>622.36</v>
      </c>
      <c r="J74" s="12">
        <v>0</v>
      </c>
      <c r="K74" s="12">
        <v>2.67</v>
      </c>
      <c r="L74" s="12">
        <v>459.97</v>
      </c>
      <c r="M74" s="12">
        <f t="shared" si="2"/>
        <v>36388.28</v>
      </c>
      <c r="N74" s="12">
        <v>3638.86</v>
      </c>
      <c r="O74" s="12">
        <v>1815.34</v>
      </c>
      <c r="P74" s="12">
        <v>686</v>
      </c>
      <c r="Q74" s="12">
        <f>4002.7+1353.86</f>
        <v>5356.5599999999995</v>
      </c>
      <c r="R74" s="12">
        <f>8368.47+98</f>
        <v>8466.4699999999993</v>
      </c>
      <c r="S74" s="12">
        <f>735+4184.3</f>
        <v>4919.3</v>
      </c>
      <c r="T74" s="12">
        <f t="shared" si="3"/>
        <v>61270.81</v>
      </c>
    </row>
    <row r="75" spans="1:20" x14ac:dyDescent="0.25">
      <c r="A75" s="5" t="s">
        <v>94</v>
      </c>
      <c r="B75" s="18">
        <v>24</v>
      </c>
      <c r="C75" s="12">
        <v>3713.64</v>
      </c>
      <c r="D75" s="12">
        <v>3317.84</v>
      </c>
      <c r="E75" s="12">
        <v>12206.25</v>
      </c>
      <c r="F75" s="12">
        <v>1795.89</v>
      </c>
      <c r="G75" s="12">
        <v>700.14</v>
      </c>
      <c r="H75" s="12">
        <v>1217.56</v>
      </c>
      <c r="I75" s="12">
        <v>0</v>
      </c>
      <c r="J75" s="12">
        <v>2100.4</v>
      </c>
      <c r="K75" s="12">
        <f>195.53+718.49</f>
        <v>914.02</v>
      </c>
      <c r="L75" s="12">
        <v>0</v>
      </c>
      <c r="M75" s="12">
        <f t="shared" si="2"/>
        <v>25965.74</v>
      </c>
      <c r="N75" s="12">
        <v>2596.58</v>
      </c>
      <c r="O75" s="12">
        <v>1628.06</v>
      </c>
      <c r="P75" s="12">
        <v>144</v>
      </c>
      <c r="Q75" s="12">
        <f>2856.32+1142.49</f>
        <v>3998.8100000000004</v>
      </c>
      <c r="R75" s="12">
        <v>6062.08</v>
      </c>
      <c r="S75" s="12">
        <v>3259.04</v>
      </c>
      <c r="T75" s="12">
        <f t="shared" si="3"/>
        <v>43654.310000000005</v>
      </c>
    </row>
    <row r="76" spans="1:20" x14ac:dyDescent="0.25">
      <c r="A76" s="5" t="s">
        <v>95</v>
      </c>
      <c r="B76" s="18">
        <v>351</v>
      </c>
      <c r="C76" s="12">
        <v>28998.63</v>
      </c>
      <c r="D76" s="12">
        <v>22582.9</v>
      </c>
      <c r="E76" s="12">
        <v>63023.77</v>
      </c>
      <c r="F76" s="12">
        <v>13074.59</v>
      </c>
      <c r="G76" s="12">
        <v>5705.08</v>
      </c>
      <c r="H76" s="12">
        <v>1426.25</v>
      </c>
      <c r="I76" s="12">
        <v>0</v>
      </c>
      <c r="J76" s="12">
        <v>0</v>
      </c>
      <c r="K76" s="12">
        <v>7290.78</v>
      </c>
      <c r="L76" s="12">
        <f>2139.62+1855.51</f>
        <v>3995.13</v>
      </c>
      <c r="M76" s="12">
        <f t="shared" si="2"/>
        <v>146097.12999999998</v>
      </c>
      <c r="N76" s="12">
        <v>14609.85</v>
      </c>
      <c r="O76" s="12">
        <v>9085.7900000000009</v>
      </c>
      <c r="P76" s="12">
        <v>6318</v>
      </c>
      <c r="Q76" s="12">
        <f>16071.1+4934.04</f>
        <v>21005.14</v>
      </c>
      <c r="R76" s="12">
        <f>33959.01+702</f>
        <v>34661.01</v>
      </c>
      <c r="S76" s="12">
        <f>5265+16979.62</f>
        <v>22244.62</v>
      </c>
      <c r="T76" s="12">
        <f t="shared" si="3"/>
        <v>254021.53999999998</v>
      </c>
    </row>
    <row r="77" spans="1:20" x14ac:dyDescent="0.25">
      <c r="A77" s="5" t="s">
        <v>96</v>
      </c>
      <c r="B77" s="18">
        <v>121</v>
      </c>
      <c r="C77" s="12">
        <v>6360.92</v>
      </c>
      <c r="D77" s="12">
        <v>4958.45</v>
      </c>
      <c r="E77" s="12">
        <v>20762.080000000002</v>
      </c>
      <c r="F77" s="12">
        <v>4091.6</v>
      </c>
      <c r="G77" s="12">
        <v>2081.5</v>
      </c>
      <c r="H77" s="12">
        <v>0</v>
      </c>
      <c r="I77" s="12">
        <v>781.4</v>
      </c>
      <c r="J77" s="12">
        <v>0</v>
      </c>
      <c r="K77" s="12">
        <f>5196.79+3.27</f>
        <v>5200.0600000000004</v>
      </c>
      <c r="L77" s="12">
        <v>0</v>
      </c>
      <c r="M77" s="12">
        <f t="shared" si="2"/>
        <v>44236.01</v>
      </c>
      <c r="N77" s="12">
        <v>4423.62</v>
      </c>
      <c r="O77" s="12">
        <v>2756.07</v>
      </c>
      <c r="P77" s="12">
        <v>590</v>
      </c>
      <c r="Q77" s="12">
        <v>6461.77</v>
      </c>
      <c r="R77" s="12">
        <v>10283.14</v>
      </c>
      <c r="S77" s="12">
        <v>6956.57</v>
      </c>
      <c r="T77" s="12">
        <f t="shared" si="3"/>
        <v>75707.179999999993</v>
      </c>
    </row>
    <row r="78" spans="1:20" x14ac:dyDescent="0.25">
      <c r="A78" s="5" t="s">
        <v>97</v>
      </c>
      <c r="B78" s="18">
        <v>36</v>
      </c>
      <c r="C78" s="12">
        <v>1959.66</v>
      </c>
      <c r="D78" s="12">
        <v>2159.39</v>
      </c>
      <c r="E78" s="12">
        <v>8055.26</v>
      </c>
      <c r="F78" s="12">
        <v>0</v>
      </c>
      <c r="G78" s="12">
        <v>594</v>
      </c>
      <c r="H78" s="12">
        <v>479.74</v>
      </c>
      <c r="I78" s="12">
        <v>208.74</v>
      </c>
      <c r="J78" s="12">
        <v>0</v>
      </c>
      <c r="K78" s="12">
        <v>0</v>
      </c>
      <c r="L78" s="12">
        <v>0</v>
      </c>
      <c r="M78" s="12">
        <f t="shared" si="2"/>
        <v>13456.79</v>
      </c>
      <c r="N78" s="12">
        <v>1345.7</v>
      </c>
      <c r="O78" s="12">
        <v>842.26</v>
      </c>
      <c r="P78" s="12">
        <v>285</v>
      </c>
      <c r="Q78" s="12">
        <v>2042.74</v>
      </c>
      <c r="R78" s="12">
        <v>3200.95</v>
      </c>
      <c r="S78" s="12">
        <v>2104.48</v>
      </c>
      <c r="T78" s="12">
        <f t="shared" si="3"/>
        <v>23277.920000000002</v>
      </c>
    </row>
    <row r="79" spans="1:20" x14ac:dyDescent="0.25">
      <c r="A79" s="5" t="s">
        <v>98</v>
      </c>
      <c r="B79" s="18">
        <v>358</v>
      </c>
      <c r="C79" s="12">
        <v>53123.63</v>
      </c>
      <c r="D79" s="12">
        <v>35713.339999999997</v>
      </c>
      <c r="E79" s="12">
        <v>253382.55</v>
      </c>
      <c r="F79" s="12">
        <v>24209.84</v>
      </c>
      <c r="G79" s="12">
        <v>21488.01</v>
      </c>
      <c r="H79" s="12">
        <v>6493.44</v>
      </c>
      <c r="I79" s="12">
        <v>0</v>
      </c>
      <c r="J79" s="12">
        <v>21518.32</v>
      </c>
      <c r="K79" s="12">
        <v>0</v>
      </c>
      <c r="L79" s="12">
        <v>813.46</v>
      </c>
      <c r="M79" s="12">
        <f t="shared" si="2"/>
        <v>416742.59000000008</v>
      </c>
      <c r="N79" s="12">
        <v>41674.300000000003</v>
      </c>
      <c r="O79" s="12">
        <v>25806.58</v>
      </c>
      <c r="P79" s="12">
        <v>1288.8</v>
      </c>
      <c r="Q79" s="12">
        <v>57714.69</v>
      </c>
      <c r="R79" s="12">
        <v>97560.69</v>
      </c>
      <c r="S79" s="12">
        <v>53792.35</v>
      </c>
      <c r="T79" s="12">
        <f t="shared" si="3"/>
        <v>694580.00000000012</v>
      </c>
    </row>
    <row r="80" spans="1:20" x14ac:dyDescent="0.25">
      <c r="A80" s="5" t="s">
        <v>99</v>
      </c>
      <c r="B80" s="18">
        <v>85</v>
      </c>
      <c r="C80" s="12">
        <v>3100.74</v>
      </c>
      <c r="D80" s="12">
        <v>6363.5</v>
      </c>
      <c r="E80" s="12">
        <v>8308.91</v>
      </c>
      <c r="F80" s="12">
        <v>1149.3599999999999</v>
      </c>
      <c r="G80" s="12">
        <v>1083.32</v>
      </c>
      <c r="H80" s="12">
        <v>1460.61</v>
      </c>
      <c r="I80" s="12">
        <v>259.43</v>
      </c>
      <c r="J80" s="12">
        <v>0</v>
      </c>
      <c r="K80" s="12">
        <v>23.93</v>
      </c>
      <c r="L80" s="12">
        <v>0</v>
      </c>
      <c r="M80" s="12">
        <f t="shared" si="2"/>
        <v>21749.800000000003</v>
      </c>
      <c r="N80" s="12">
        <v>2174.98</v>
      </c>
      <c r="O80" s="12">
        <v>1365.42</v>
      </c>
      <c r="P80" s="12">
        <v>935</v>
      </c>
      <c r="Q80" s="12">
        <f>991.2+2392.48</f>
        <v>3383.6800000000003</v>
      </c>
      <c r="R80" s="12">
        <f>5058.04+170</f>
        <v>5228.04</v>
      </c>
      <c r="S80" s="12">
        <f>2529.02+850</f>
        <v>3379.02</v>
      </c>
      <c r="T80" s="12">
        <f t="shared" si="3"/>
        <v>38215.94</v>
      </c>
    </row>
    <row r="81" spans="1:20" x14ac:dyDescent="0.25">
      <c r="A81" s="5" t="s">
        <v>100</v>
      </c>
      <c r="B81" s="18">
        <v>31</v>
      </c>
      <c r="C81" s="12">
        <v>2068.17</v>
      </c>
      <c r="D81" s="12">
        <v>1456.98</v>
      </c>
      <c r="E81" s="12">
        <v>8569.6200000000008</v>
      </c>
      <c r="F81" s="12">
        <v>727.15</v>
      </c>
      <c r="G81" s="12">
        <v>508.56</v>
      </c>
      <c r="H81" s="12">
        <v>473.4</v>
      </c>
      <c r="I81" s="12">
        <v>0</v>
      </c>
      <c r="J81" s="12">
        <v>0</v>
      </c>
      <c r="K81" s="12">
        <v>1.9</v>
      </c>
      <c r="L81" s="12">
        <v>186.46</v>
      </c>
      <c r="M81" s="12">
        <f t="shared" si="2"/>
        <v>13992.239999999998</v>
      </c>
      <c r="N81" s="12">
        <v>1399.21</v>
      </c>
      <c r="O81" s="12">
        <v>944.42</v>
      </c>
      <c r="P81" s="12">
        <v>0</v>
      </c>
      <c r="Q81" s="12">
        <f>1513.22+596.77</f>
        <v>2109.9899999999998</v>
      </c>
      <c r="R81" s="12">
        <v>3267.16</v>
      </c>
      <c r="S81" s="12">
        <f>535+1633.63</f>
        <v>2168.63</v>
      </c>
      <c r="T81" s="12">
        <f>SUM(M81:S81)</f>
        <v>23881.649999999998</v>
      </c>
    </row>
    <row r="82" spans="1:20" x14ac:dyDescent="0.25">
      <c r="A82" s="5" t="s">
        <v>101</v>
      </c>
      <c r="B82" s="18">
        <v>86</v>
      </c>
      <c r="C82" s="12">
        <v>13082.21</v>
      </c>
      <c r="D82" s="12">
        <v>10723.16</v>
      </c>
      <c r="E82" s="12">
        <v>39675.660000000003</v>
      </c>
      <c r="F82" s="12">
        <v>10401.48</v>
      </c>
      <c r="G82" s="12">
        <v>8578.5400000000009</v>
      </c>
      <c r="H82" s="12">
        <v>1930.17</v>
      </c>
      <c r="I82" s="12">
        <v>536.29</v>
      </c>
      <c r="J82" s="12">
        <v>160.38</v>
      </c>
      <c r="K82" s="12">
        <v>8215.77</v>
      </c>
      <c r="L82" s="12">
        <f>4074.79+9725.69</f>
        <v>13800.48</v>
      </c>
      <c r="M82" s="12">
        <f t="shared" si="2"/>
        <v>107104.13999999998</v>
      </c>
      <c r="N82" s="12">
        <v>10710.46</v>
      </c>
      <c r="O82" s="12">
        <v>5358.89</v>
      </c>
      <c r="P82" s="12">
        <v>0</v>
      </c>
      <c r="Q82" s="12">
        <f>11781.5+4375.67</f>
        <v>16157.17</v>
      </c>
      <c r="R82" s="12">
        <f>24634.69+172</f>
        <v>24806.69</v>
      </c>
      <c r="S82" s="12">
        <f>860+12317.42</f>
        <v>13177.42</v>
      </c>
      <c r="T82" s="12">
        <f t="shared" si="3"/>
        <v>177314.77</v>
      </c>
    </row>
    <row r="83" spans="1:20" x14ac:dyDescent="0.25">
      <c r="A83" s="5" t="s">
        <v>102</v>
      </c>
      <c r="B83" s="18">
        <v>126</v>
      </c>
      <c r="C83" s="12">
        <v>3671.25</v>
      </c>
      <c r="D83" s="12">
        <v>3337.45</v>
      </c>
      <c r="E83" s="12">
        <v>15946.02</v>
      </c>
      <c r="F83" s="12">
        <v>3036.96</v>
      </c>
      <c r="G83" s="12">
        <v>1051.5999999999999</v>
      </c>
      <c r="H83" s="12">
        <v>1428.14</v>
      </c>
      <c r="I83" s="12">
        <v>0</v>
      </c>
      <c r="J83" s="12">
        <v>0</v>
      </c>
      <c r="K83" s="12">
        <v>0</v>
      </c>
      <c r="L83" s="12">
        <v>169.44</v>
      </c>
      <c r="M83" s="12">
        <f t="shared" si="2"/>
        <v>28640.859999999997</v>
      </c>
      <c r="N83" s="12">
        <v>2864.1</v>
      </c>
      <c r="O83" s="12">
        <v>1812.63</v>
      </c>
      <c r="P83" s="12">
        <v>572.5</v>
      </c>
      <c r="Q83" s="12">
        <v>4347.68</v>
      </c>
      <c r="R83" s="12">
        <v>6663.52</v>
      </c>
      <c r="S83" s="12">
        <v>5221.76</v>
      </c>
      <c r="T83" s="12">
        <f t="shared" si="3"/>
        <v>50123.049999999996</v>
      </c>
    </row>
    <row r="84" spans="1:20" x14ac:dyDescent="0.25">
      <c r="A84" s="5" t="s">
        <v>103</v>
      </c>
      <c r="B84" s="18">
        <v>18</v>
      </c>
      <c r="C84" s="12">
        <v>6595.29</v>
      </c>
      <c r="D84" s="12">
        <v>10591.26</v>
      </c>
      <c r="E84" s="12">
        <v>24163.32</v>
      </c>
      <c r="F84" s="12">
        <v>3619.89</v>
      </c>
      <c r="G84" s="12">
        <v>4324.53</v>
      </c>
      <c r="H84" s="12">
        <v>2160.86</v>
      </c>
      <c r="I84" s="12">
        <v>0</v>
      </c>
      <c r="J84" s="12">
        <v>0</v>
      </c>
      <c r="K84" s="12">
        <v>0</v>
      </c>
      <c r="L84" s="12">
        <v>8102.23</v>
      </c>
      <c r="M84" s="12">
        <f t="shared" si="2"/>
        <v>59557.37999999999</v>
      </c>
      <c r="N84" s="12">
        <v>5955.74</v>
      </c>
      <c r="O84" s="12">
        <v>3724.75</v>
      </c>
      <c r="P84" s="12">
        <v>648</v>
      </c>
      <c r="Q84" s="12">
        <v>8981.85</v>
      </c>
      <c r="R84" s="12">
        <v>13865.57</v>
      </c>
      <c r="S84" s="12">
        <v>7193.79</v>
      </c>
      <c r="T84" s="12">
        <f t="shared" si="3"/>
        <v>99927.08</v>
      </c>
    </row>
    <row r="85" spans="1:20" x14ac:dyDescent="0.25">
      <c r="A85" s="5" t="s">
        <v>104</v>
      </c>
      <c r="B85" s="18">
        <v>135</v>
      </c>
      <c r="C85" s="12">
        <v>11631.5</v>
      </c>
      <c r="D85" s="12">
        <v>20483.32</v>
      </c>
      <c r="E85" s="12">
        <v>45909.65</v>
      </c>
      <c r="F85" s="12">
        <v>9183.77</v>
      </c>
      <c r="G85" s="12">
        <v>2566.4</v>
      </c>
      <c r="H85" s="12">
        <v>3778.59</v>
      </c>
      <c r="I85" s="12">
        <v>761.16</v>
      </c>
      <c r="J85" s="12">
        <v>0</v>
      </c>
      <c r="K85" s="12">
        <v>0</v>
      </c>
      <c r="L85" s="12">
        <v>9946.91</v>
      </c>
      <c r="M85" s="12">
        <f t="shared" si="2"/>
        <v>104261.3</v>
      </c>
      <c r="N85" s="12">
        <v>10426.129999999999</v>
      </c>
      <c r="O85" s="12">
        <v>6526.78</v>
      </c>
      <c r="P85" s="12">
        <v>0</v>
      </c>
      <c r="Q85" s="12">
        <v>15848.26</v>
      </c>
      <c r="R85" s="12">
        <v>24242.84</v>
      </c>
      <c r="S85" s="12">
        <v>14281.42</v>
      </c>
      <c r="T85" s="12">
        <f t="shared" si="3"/>
        <v>175586.73</v>
      </c>
    </row>
    <row r="86" spans="1:20" x14ac:dyDescent="0.25">
      <c r="A86" s="5" t="s">
        <v>105</v>
      </c>
      <c r="B86" s="18">
        <v>30</v>
      </c>
      <c r="C86" s="12">
        <v>1384.96</v>
      </c>
      <c r="D86" s="12">
        <v>1280.81</v>
      </c>
      <c r="E86" s="12">
        <v>4513.82</v>
      </c>
      <c r="F86" s="12">
        <v>841.93</v>
      </c>
      <c r="G86" s="12">
        <v>891.18</v>
      </c>
      <c r="H86" s="12">
        <v>583.92999999999995</v>
      </c>
      <c r="I86" s="12">
        <v>334.08</v>
      </c>
      <c r="J86" s="12">
        <v>0</v>
      </c>
      <c r="K86" s="12">
        <f>977.49+0.64</f>
        <v>978.13</v>
      </c>
      <c r="L86" s="12">
        <v>0</v>
      </c>
      <c r="M86" s="12">
        <f t="shared" si="2"/>
        <v>10808.84</v>
      </c>
      <c r="N86" s="12">
        <v>1080.8900000000001</v>
      </c>
      <c r="O86" s="12">
        <v>547.12</v>
      </c>
      <c r="P86" s="12">
        <v>150</v>
      </c>
      <c r="Q86" s="12">
        <v>1663.95</v>
      </c>
      <c r="R86" s="12">
        <v>2572.11</v>
      </c>
      <c r="S86" s="12">
        <v>1556</v>
      </c>
      <c r="T86" s="12">
        <f t="shared" si="3"/>
        <v>18378.91</v>
      </c>
    </row>
    <row r="87" spans="1:20" x14ac:dyDescent="0.25">
      <c r="A87" s="5" t="s">
        <v>106</v>
      </c>
      <c r="B87" s="18">
        <v>158</v>
      </c>
      <c r="C87" s="12">
        <v>17235.04</v>
      </c>
      <c r="D87" s="12">
        <v>11803.07</v>
      </c>
      <c r="E87" s="12">
        <v>69868.570000000007</v>
      </c>
      <c r="F87" s="12">
        <v>13622.54</v>
      </c>
      <c r="G87" s="12">
        <v>5681.52</v>
      </c>
      <c r="H87" s="12">
        <v>4214.1099999999997</v>
      </c>
      <c r="I87" s="12">
        <v>983.74</v>
      </c>
      <c r="J87" s="12">
        <v>0</v>
      </c>
      <c r="K87" s="12">
        <v>4028.76</v>
      </c>
      <c r="L87" s="12">
        <v>0</v>
      </c>
      <c r="M87" s="12">
        <f t="shared" si="2"/>
        <v>127437.35</v>
      </c>
      <c r="N87" s="12">
        <v>12743.74</v>
      </c>
      <c r="O87" s="12">
        <v>6341.96</v>
      </c>
      <c r="P87" s="12">
        <v>790</v>
      </c>
      <c r="Q87" s="12">
        <v>18367.93</v>
      </c>
      <c r="R87" s="12">
        <v>29620.61</v>
      </c>
      <c r="S87" s="12">
        <v>17022.310000000001</v>
      </c>
      <c r="T87" s="12">
        <f t="shared" si="3"/>
        <v>212323.89999999997</v>
      </c>
    </row>
    <row r="88" spans="1:20" x14ac:dyDescent="0.25">
      <c r="A88" s="5" t="s">
        <v>107</v>
      </c>
      <c r="B88" s="18">
        <v>47</v>
      </c>
      <c r="C88" s="12">
        <v>2683.71</v>
      </c>
      <c r="D88" s="12">
        <v>1774.27</v>
      </c>
      <c r="E88" s="12">
        <v>10853.17</v>
      </c>
      <c r="F88" s="12">
        <v>1261.55</v>
      </c>
      <c r="G88" s="12">
        <v>0</v>
      </c>
      <c r="H88" s="12">
        <v>1502.07</v>
      </c>
      <c r="I88" s="12">
        <v>329.65</v>
      </c>
      <c r="J88" s="12">
        <v>1275.04</v>
      </c>
      <c r="K88" s="12">
        <v>0</v>
      </c>
      <c r="L88" s="12">
        <v>0</v>
      </c>
      <c r="M88" s="12">
        <f t="shared" si="2"/>
        <v>19679.460000000003</v>
      </c>
      <c r="N88" s="12">
        <v>1967.95</v>
      </c>
      <c r="O88" s="12">
        <v>1234.93</v>
      </c>
      <c r="P88" s="12">
        <v>1175</v>
      </c>
      <c r="Q88" s="12">
        <v>3051.2</v>
      </c>
      <c r="R88" s="12">
        <v>4623.47</v>
      </c>
      <c r="S88" s="12">
        <v>2993.23</v>
      </c>
      <c r="T88" s="12">
        <f t="shared" si="3"/>
        <v>34725.240000000005</v>
      </c>
    </row>
    <row r="89" spans="1:20" x14ac:dyDescent="0.25">
      <c r="A89" s="5" t="s">
        <v>108</v>
      </c>
      <c r="B89" s="18">
        <v>46</v>
      </c>
      <c r="C89" s="12">
        <v>1894.18</v>
      </c>
      <c r="D89" s="12">
        <v>1364.52</v>
      </c>
      <c r="E89" s="12">
        <v>6980.42</v>
      </c>
      <c r="F89" s="12">
        <v>827.87</v>
      </c>
      <c r="G89" s="12">
        <v>619.86</v>
      </c>
      <c r="H89" s="12">
        <v>768.8</v>
      </c>
      <c r="I89" s="12">
        <v>278.05</v>
      </c>
      <c r="J89" s="12">
        <v>975.84</v>
      </c>
      <c r="K89" s="12">
        <v>3.42</v>
      </c>
      <c r="L89" s="12">
        <v>0</v>
      </c>
      <c r="M89" s="12">
        <f t="shared" si="2"/>
        <v>13712.96</v>
      </c>
      <c r="N89" s="12">
        <v>1371.3</v>
      </c>
      <c r="O89" s="12">
        <v>858.68</v>
      </c>
      <c r="P89" s="12">
        <v>368</v>
      </c>
      <c r="Q89" s="12">
        <v>2089.3200000000002</v>
      </c>
      <c r="R89" s="12">
        <v>3300.83</v>
      </c>
      <c r="S89" s="12">
        <v>2284.29</v>
      </c>
      <c r="T89" s="12">
        <f t="shared" si="3"/>
        <v>23985.379999999997</v>
      </c>
    </row>
    <row r="90" spans="1:20" x14ac:dyDescent="0.25">
      <c r="A90" s="5" t="s">
        <v>109</v>
      </c>
      <c r="B90" s="18">
        <v>103</v>
      </c>
      <c r="C90" s="12">
        <v>9808.06</v>
      </c>
      <c r="D90" s="12">
        <v>5360.63</v>
      </c>
      <c r="E90" s="12">
        <v>37698.620000000003</v>
      </c>
      <c r="F90" s="12">
        <v>3870.88</v>
      </c>
      <c r="G90" s="12">
        <v>3924.54</v>
      </c>
      <c r="H90" s="12">
        <v>2774.2</v>
      </c>
      <c r="I90" s="12">
        <v>0</v>
      </c>
      <c r="J90" s="12">
        <v>4168.08</v>
      </c>
      <c r="K90" s="12">
        <f>4318.29+0.33</f>
        <v>4318.62</v>
      </c>
      <c r="L90" s="12">
        <v>0</v>
      </c>
      <c r="M90" s="12">
        <f t="shared" si="2"/>
        <v>71923.62999999999</v>
      </c>
      <c r="N90" s="12">
        <v>7192.36</v>
      </c>
      <c r="O90" s="12">
        <v>4454.2299999999996</v>
      </c>
      <c r="P90" s="12">
        <v>515</v>
      </c>
      <c r="Q90" s="12">
        <v>9968.61</v>
      </c>
      <c r="R90" s="12">
        <v>16920.04</v>
      </c>
      <c r="S90" s="12">
        <v>9902.02</v>
      </c>
      <c r="T90" s="12">
        <f t="shared" si="3"/>
        <v>120875.89</v>
      </c>
    </row>
    <row r="91" spans="1:20" x14ac:dyDescent="0.25">
      <c r="A91" s="5" t="s">
        <v>110</v>
      </c>
      <c r="B91" s="18">
        <v>38</v>
      </c>
      <c r="C91" s="12">
        <v>3805.7</v>
      </c>
      <c r="D91" s="12">
        <v>1901.16</v>
      </c>
      <c r="E91" s="12">
        <v>15621.22</v>
      </c>
      <c r="F91" s="12">
        <v>2122.98</v>
      </c>
      <c r="G91" s="12">
        <v>3168.6</v>
      </c>
      <c r="H91" s="12">
        <v>3612.2</v>
      </c>
      <c r="I91" s="12">
        <v>570.34</v>
      </c>
      <c r="J91" s="12">
        <v>2249.7199999999998</v>
      </c>
      <c r="K91" s="12">
        <v>0</v>
      </c>
      <c r="L91" s="12">
        <v>0</v>
      </c>
      <c r="M91" s="12">
        <f t="shared" si="2"/>
        <v>33051.919999999998</v>
      </c>
      <c r="N91" s="12">
        <v>3305.2</v>
      </c>
      <c r="O91" s="12">
        <v>2073.11</v>
      </c>
      <c r="P91" s="12">
        <v>0</v>
      </c>
      <c r="Q91" s="12">
        <f>3635.72+1469.34</f>
        <v>5105.0599999999995</v>
      </c>
      <c r="R91" s="12">
        <f>7686.05+76</f>
        <v>7762.05</v>
      </c>
      <c r="S91" s="12">
        <f>3843.02+380</f>
        <v>4223.0200000000004</v>
      </c>
      <c r="T91" s="12">
        <f t="shared" si="3"/>
        <v>55520.36</v>
      </c>
    </row>
    <row r="92" spans="1:20" x14ac:dyDescent="0.25">
      <c r="A92" s="5" t="s">
        <v>111</v>
      </c>
      <c r="B92" s="18">
        <v>118</v>
      </c>
      <c r="C92" s="12">
        <v>9337.08</v>
      </c>
      <c r="D92" s="12">
        <v>7806.35</v>
      </c>
      <c r="E92" s="12">
        <v>38034.379999999997</v>
      </c>
      <c r="F92" s="12">
        <v>6197.16</v>
      </c>
      <c r="G92" s="12">
        <v>1377.44</v>
      </c>
      <c r="H92" s="12">
        <v>1377.44</v>
      </c>
      <c r="I92" s="12">
        <v>397.94</v>
      </c>
      <c r="J92" s="12">
        <v>0</v>
      </c>
      <c r="K92" s="12">
        <v>6.66</v>
      </c>
      <c r="L92" s="12">
        <f>391.31+688.71+0.66</f>
        <v>1080.68</v>
      </c>
      <c r="M92" s="12">
        <f t="shared" si="2"/>
        <v>65615.13</v>
      </c>
      <c r="N92" s="12">
        <v>6561.54</v>
      </c>
      <c r="O92" s="12">
        <v>4091.7</v>
      </c>
      <c r="P92" s="12">
        <v>0</v>
      </c>
      <c r="Q92" s="12">
        <v>9657.24</v>
      </c>
      <c r="R92" s="12">
        <v>15253.67</v>
      </c>
      <c r="S92" s="12">
        <v>8806.84</v>
      </c>
      <c r="T92" s="12">
        <f t="shared" si="3"/>
        <v>109986.12</v>
      </c>
    </row>
    <row r="93" spans="1:20" x14ac:dyDescent="0.25">
      <c r="A93" s="5" t="s">
        <v>112</v>
      </c>
      <c r="B93" s="18">
        <v>112</v>
      </c>
      <c r="C93" s="12">
        <v>13953.65</v>
      </c>
      <c r="D93" s="12">
        <v>16266.93</v>
      </c>
      <c r="E93" s="12">
        <v>37164.870000000003</v>
      </c>
      <c r="F93" s="12">
        <v>8973.23</v>
      </c>
      <c r="G93" s="12">
        <v>0</v>
      </c>
      <c r="H93" s="12">
        <v>1136.8599999999999</v>
      </c>
      <c r="I93" s="12">
        <v>566.02</v>
      </c>
      <c r="J93" s="12">
        <v>0</v>
      </c>
      <c r="K93" s="12">
        <f>600.46+2.3+3445</f>
        <v>4047.76</v>
      </c>
      <c r="L93" s="12">
        <v>0</v>
      </c>
      <c r="M93" s="12">
        <f t="shared" si="2"/>
        <v>82109.320000000007</v>
      </c>
      <c r="N93" s="12">
        <v>8555.48</v>
      </c>
      <c r="O93" s="12">
        <v>5312.5</v>
      </c>
      <c r="P93" s="12">
        <v>1008</v>
      </c>
      <c r="Q93" s="12">
        <v>12140.16</v>
      </c>
      <c r="R93" s="12">
        <v>20108.46</v>
      </c>
      <c r="S93" s="12">
        <v>11622.23</v>
      </c>
      <c r="T93" s="12">
        <f t="shared" si="3"/>
        <v>140856.15000000002</v>
      </c>
    </row>
    <row r="94" spans="1:20" x14ac:dyDescent="0.25">
      <c r="A94" s="5" t="s">
        <v>113</v>
      </c>
      <c r="B94" s="18">
        <v>29</v>
      </c>
      <c r="C94" s="12">
        <v>1770.35</v>
      </c>
      <c r="D94" s="12">
        <v>1900.97</v>
      </c>
      <c r="E94" s="12">
        <v>5543.76</v>
      </c>
      <c r="F94" s="12">
        <v>796.88</v>
      </c>
      <c r="G94" s="12">
        <v>580.44000000000005</v>
      </c>
      <c r="H94" s="12">
        <v>0</v>
      </c>
      <c r="I94" s="12">
        <v>0</v>
      </c>
      <c r="J94" s="12">
        <v>0</v>
      </c>
      <c r="K94" s="12">
        <v>709.04</v>
      </c>
      <c r="L94" s="12">
        <v>0</v>
      </c>
      <c r="M94" s="12">
        <f t="shared" si="2"/>
        <v>11301.439999999999</v>
      </c>
      <c r="N94" s="12">
        <v>1130.1600000000001</v>
      </c>
      <c r="O94" s="12">
        <v>566.55999999999995</v>
      </c>
      <c r="P94" s="12">
        <v>174</v>
      </c>
      <c r="Q94" s="12">
        <v>1731</v>
      </c>
      <c r="R94" s="12">
        <v>2599.79</v>
      </c>
      <c r="S94" s="12">
        <v>1734.84</v>
      </c>
      <c r="T94" s="12">
        <f t="shared" si="3"/>
        <v>19237.789999999997</v>
      </c>
    </row>
    <row r="95" spans="1:20" x14ac:dyDescent="0.25">
      <c r="A95" s="5" t="s">
        <v>114</v>
      </c>
      <c r="B95" s="18">
        <v>95</v>
      </c>
      <c r="C95" s="12">
        <v>5588.72</v>
      </c>
      <c r="D95" s="12">
        <v>3024.62</v>
      </c>
      <c r="E95" s="12">
        <v>20407.04</v>
      </c>
      <c r="F95" s="12">
        <v>3124.2</v>
      </c>
      <c r="G95" s="12">
        <v>1598.88</v>
      </c>
      <c r="H95" s="12">
        <v>1046.93</v>
      </c>
      <c r="I95" s="12">
        <v>274.10000000000002</v>
      </c>
      <c r="J95" s="12">
        <v>0</v>
      </c>
      <c r="K95" s="12">
        <v>29.46</v>
      </c>
      <c r="L95" s="12">
        <v>2.34</v>
      </c>
      <c r="M95" s="12">
        <f t="shared" si="2"/>
        <v>35096.289999999994</v>
      </c>
      <c r="N95" s="12">
        <v>3509.65</v>
      </c>
      <c r="O95" s="12">
        <v>2182.7800000000002</v>
      </c>
      <c r="P95" s="12">
        <v>475</v>
      </c>
      <c r="Q95" s="12">
        <v>5049.66</v>
      </c>
      <c r="R95" s="12">
        <v>8157.74</v>
      </c>
      <c r="S95" s="12">
        <v>5503.87</v>
      </c>
      <c r="T95" s="12">
        <f>SUM(M95:S95)</f>
        <v>59974.989999999991</v>
      </c>
    </row>
    <row r="96" spans="1:20" x14ac:dyDescent="0.25">
      <c r="A96" s="5" t="s">
        <v>115</v>
      </c>
      <c r="B96" s="18">
        <v>241</v>
      </c>
      <c r="C96" s="12">
        <v>46425.19</v>
      </c>
      <c r="D96" s="12">
        <v>33897.85</v>
      </c>
      <c r="E96" s="12">
        <v>174813.11</v>
      </c>
      <c r="F96" s="12">
        <v>10215.83</v>
      </c>
      <c r="G96" s="12">
        <v>7522.06</v>
      </c>
      <c r="H96" s="12">
        <v>0</v>
      </c>
      <c r="I96" s="12">
        <v>0</v>
      </c>
      <c r="J96" s="12">
        <v>17827.349999999999</v>
      </c>
      <c r="K96" s="12">
        <v>36666.31</v>
      </c>
      <c r="L96" s="12">
        <f>84234.4+461.3+805</f>
        <v>85500.7</v>
      </c>
      <c r="M96" s="12">
        <f t="shared" si="2"/>
        <v>412868.39999999997</v>
      </c>
      <c r="N96" s="12">
        <v>41286.839999999997</v>
      </c>
      <c r="O96" s="12">
        <v>25451.43</v>
      </c>
      <c r="P96" s="12">
        <v>2169</v>
      </c>
      <c r="Q96" s="12">
        <v>54873.31</v>
      </c>
      <c r="R96" s="12">
        <v>96403.33</v>
      </c>
      <c r="S96" s="12">
        <v>51575.67</v>
      </c>
      <c r="T96" s="12">
        <f t="shared" si="3"/>
        <v>684627.98</v>
      </c>
    </row>
    <row r="97" spans="1:20" x14ac:dyDescent="0.25">
      <c r="A97" s="5" t="s">
        <v>156</v>
      </c>
      <c r="B97" s="18">
        <v>31</v>
      </c>
      <c r="C97" s="12">
        <v>2012.75</v>
      </c>
      <c r="D97" s="12">
        <v>1946.76</v>
      </c>
      <c r="E97" s="12">
        <v>9467.69</v>
      </c>
      <c r="F97" s="12">
        <v>1911.61</v>
      </c>
      <c r="G97" s="12">
        <v>923.89</v>
      </c>
      <c r="H97" s="12">
        <v>742.39</v>
      </c>
      <c r="I97" s="12">
        <v>263.97000000000003</v>
      </c>
      <c r="J97" s="12">
        <v>0</v>
      </c>
      <c r="K97" s="12">
        <v>884</v>
      </c>
      <c r="L97" s="12">
        <v>0</v>
      </c>
      <c r="M97" s="12">
        <f t="shared" si="2"/>
        <v>18153.060000000001</v>
      </c>
      <c r="N97" s="12">
        <v>1815.32</v>
      </c>
      <c r="O97" s="12">
        <v>925.19</v>
      </c>
      <c r="P97" s="12">
        <v>9</v>
      </c>
      <c r="Q97" s="12">
        <f>2746.47+277</f>
        <v>3023.47</v>
      </c>
      <c r="R97" s="12">
        <f>56.42+4179.82</f>
        <v>4236.24</v>
      </c>
      <c r="S97" s="12">
        <f>430+2089.91</f>
        <v>2519.91</v>
      </c>
      <c r="T97" s="12">
        <f t="shared" si="3"/>
        <v>30682.19</v>
      </c>
    </row>
    <row r="98" spans="1:20" x14ac:dyDescent="0.25">
      <c r="A98" s="5" t="s">
        <v>116</v>
      </c>
      <c r="B98" s="18">
        <v>91</v>
      </c>
      <c r="C98" s="12">
        <v>1278.44</v>
      </c>
      <c r="D98" s="12">
        <v>1561.37</v>
      </c>
      <c r="E98" s="12">
        <v>4558.37</v>
      </c>
      <c r="F98" s="12">
        <v>1624.25</v>
      </c>
      <c r="G98" s="12">
        <v>523.95000000000005</v>
      </c>
      <c r="H98" s="12">
        <v>1320.36</v>
      </c>
      <c r="I98" s="12">
        <v>586.83000000000004</v>
      </c>
      <c r="J98" s="12">
        <v>0</v>
      </c>
      <c r="K98" s="12">
        <v>13.92</v>
      </c>
      <c r="L98" s="12">
        <v>0</v>
      </c>
      <c r="M98" s="12">
        <f t="shared" si="2"/>
        <v>11467.490000000002</v>
      </c>
      <c r="N98" s="12">
        <v>1146.77</v>
      </c>
      <c r="O98" s="12">
        <v>149.81</v>
      </c>
      <c r="P98" s="12">
        <v>361</v>
      </c>
      <c r="Q98" s="12">
        <v>1719.63</v>
      </c>
      <c r="R98" s="12">
        <v>2552.8200000000002</v>
      </c>
      <c r="S98" s="12">
        <v>2111.36</v>
      </c>
      <c r="T98" s="12">
        <f t="shared" si="3"/>
        <v>19508.88</v>
      </c>
    </row>
    <row r="99" spans="1:20" x14ac:dyDescent="0.25">
      <c r="A99" s="5" t="s">
        <v>117</v>
      </c>
      <c r="B99" s="18">
        <v>69</v>
      </c>
      <c r="C99" s="12">
        <v>4229.38</v>
      </c>
      <c r="D99" s="12">
        <v>5408.04</v>
      </c>
      <c r="E99" s="12">
        <v>19933.53</v>
      </c>
      <c r="F99" s="12">
        <v>2738.71</v>
      </c>
      <c r="G99" s="12">
        <v>2010.68</v>
      </c>
      <c r="H99" s="12">
        <v>1386.67</v>
      </c>
      <c r="I99" s="12">
        <v>416.01</v>
      </c>
      <c r="J99" s="12">
        <v>3129.43</v>
      </c>
      <c r="K99" s="12">
        <v>568.02</v>
      </c>
      <c r="L99" s="12">
        <v>797.38</v>
      </c>
      <c r="M99" s="12">
        <f t="shared" si="2"/>
        <v>40617.849999999991</v>
      </c>
      <c r="N99" s="12">
        <v>4061.88</v>
      </c>
      <c r="O99" s="12">
        <v>2038.04</v>
      </c>
      <c r="P99" s="12">
        <v>0</v>
      </c>
      <c r="Q99" s="12">
        <f>4467.98+1802.42</f>
        <v>6270.4</v>
      </c>
      <c r="R99" s="12">
        <f>9343.48+30.36</f>
        <v>9373.84</v>
      </c>
      <c r="S99" s="12">
        <f>690+4671.74</f>
        <v>5361.74</v>
      </c>
      <c r="T99" s="12">
        <f t="shared" si="3"/>
        <v>67723.75</v>
      </c>
    </row>
    <row r="100" spans="1:20" x14ac:dyDescent="0.25">
      <c r="A100" s="5" t="s">
        <v>118</v>
      </c>
      <c r="B100" s="18">
        <v>198</v>
      </c>
      <c r="C100" s="12">
        <v>18988.439999999999</v>
      </c>
      <c r="D100" s="12">
        <v>14236.62</v>
      </c>
      <c r="E100" s="12">
        <v>71721.47</v>
      </c>
      <c r="F100" s="12">
        <v>22346.21</v>
      </c>
      <c r="G100" s="12">
        <v>4785.8</v>
      </c>
      <c r="H100" s="12">
        <v>3864.61</v>
      </c>
      <c r="I100" s="12">
        <v>1215.28</v>
      </c>
      <c r="J100" s="12">
        <v>0</v>
      </c>
      <c r="K100" s="12">
        <v>267.77999999999997</v>
      </c>
      <c r="L100" s="12">
        <v>359.55</v>
      </c>
      <c r="M100" s="12">
        <f t="shared" si="2"/>
        <v>137785.75999999995</v>
      </c>
      <c r="N100" s="12">
        <v>13778.6</v>
      </c>
      <c r="O100" s="12">
        <v>8618.4</v>
      </c>
      <c r="P100" s="12">
        <v>1584</v>
      </c>
      <c r="Q100" s="12">
        <v>20803.72</v>
      </c>
      <c r="R100" s="12">
        <v>32630.55</v>
      </c>
      <c r="S100" s="12">
        <v>18988.28</v>
      </c>
      <c r="T100" s="12">
        <f t="shared" si="3"/>
        <v>234189.30999999994</v>
      </c>
    </row>
    <row r="101" spans="1:20" x14ac:dyDescent="0.25">
      <c r="A101" s="5" t="s">
        <v>119</v>
      </c>
      <c r="B101" s="18">
        <v>299</v>
      </c>
      <c r="C101" s="12">
        <v>18681.89</v>
      </c>
      <c r="D101" s="12">
        <v>18987.919999999998</v>
      </c>
      <c r="E101" s="12">
        <v>80956.740000000005</v>
      </c>
      <c r="F101" s="12">
        <v>13781.6</v>
      </c>
      <c r="G101" s="12">
        <v>6125.15</v>
      </c>
      <c r="H101" s="12">
        <v>3369.02</v>
      </c>
      <c r="I101" s="12">
        <v>0</v>
      </c>
      <c r="J101" s="12">
        <v>0</v>
      </c>
      <c r="K101" s="12">
        <v>24.32</v>
      </c>
      <c r="L101" s="12">
        <v>20014.71</v>
      </c>
      <c r="M101" s="12">
        <f t="shared" si="2"/>
        <v>161941.34999999998</v>
      </c>
      <c r="N101" s="12">
        <v>16194.46</v>
      </c>
      <c r="O101" s="12">
        <v>12135.4</v>
      </c>
      <c r="P101" s="12">
        <v>2392</v>
      </c>
      <c r="Q101" s="12">
        <f>17813.59+6306.27</f>
        <v>24119.86</v>
      </c>
      <c r="R101" s="12">
        <f>38054.19+684.71</f>
        <v>38738.9</v>
      </c>
      <c r="S101" s="12">
        <f>4485+19027.33</f>
        <v>23512.33</v>
      </c>
      <c r="T101" s="12">
        <f t="shared" si="3"/>
        <v>279034.29999999993</v>
      </c>
    </row>
    <row r="102" spans="1:20" x14ac:dyDescent="0.25">
      <c r="A102" s="5" t="s">
        <v>120</v>
      </c>
      <c r="B102" s="18">
        <v>58</v>
      </c>
      <c r="C102" s="12">
        <v>6258.67</v>
      </c>
      <c r="D102" s="12">
        <v>5027.45</v>
      </c>
      <c r="E102" s="12">
        <v>17288.310000000001</v>
      </c>
      <c r="F102" s="12">
        <v>2257.21</v>
      </c>
      <c r="G102" s="12">
        <v>1795.57</v>
      </c>
      <c r="H102" s="12">
        <v>1539</v>
      </c>
      <c r="I102" s="12">
        <v>0</v>
      </c>
      <c r="J102" s="12">
        <v>0</v>
      </c>
      <c r="K102" s="12">
        <v>25.6</v>
      </c>
      <c r="L102" s="12">
        <v>0</v>
      </c>
      <c r="M102" s="12">
        <f t="shared" si="2"/>
        <v>34191.81</v>
      </c>
      <c r="N102" s="12">
        <v>3419.19</v>
      </c>
      <c r="O102" s="12">
        <v>1716.88</v>
      </c>
      <c r="P102" s="12">
        <v>0</v>
      </c>
      <c r="Q102" s="12">
        <v>0</v>
      </c>
      <c r="R102" s="12">
        <v>7865.55</v>
      </c>
      <c r="S102" s="12">
        <f>580+3932.75</f>
        <v>4512.75</v>
      </c>
      <c r="T102" s="12">
        <f t="shared" si="3"/>
        <v>51706.18</v>
      </c>
    </row>
    <row r="103" spans="1:20" x14ac:dyDescent="0.25">
      <c r="A103" s="5" t="s">
        <v>121</v>
      </c>
      <c r="B103" s="18">
        <v>312</v>
      </c>
      <c r="C103" s="12">
        <v>26273.38</v>
      </c>
      <c r="D103" s="12">
        <v>6108.04</v>
      </c>
      <c r="E103" s="12">
        <v>52377.04</v>
      </c>
      <c r="F103" s="12">
        <v>7428.92</v>
      </c>
      <c r="G103" s="12">
        <v>2442.0300000000002</v>
      </c>
      <c r="H103" s="12">
        <v>1586.66</v>
      </c>
      <c r="I103" s="12">
        <v>0</v>
      </c>
      <c r="J103" s="12">
        <v>0</v>
      </c>
      <c r="K103" s="12">
        <v>0</v>
      </c>
      <c r="L103" s="12">
        <v>0</v>
      </c>
      <c r="M103" s="12">
        <f t="shared" si="2"/>
        <v>96216.07</v>
      </c>
      <c r="N103" s="12">
        <v>9621.61</v>
      </c>
      <c r="O103" s="12">
        <v>4796.53</v>
      </c>
      <c r="P103" s="12">
        <v>0</v>
      </c>
      <c r="Q103" s="12">
        <v>14075.69</v>
      </c>
      <c r="R103" s="12">
        <v>22126.84</v>
      </c>
      <c r="S103" s="12">
        <v>19799.419999999998</v>
      </c>
      <c r="T103" s="12">
        <f t="shared" si="3"/>
        <v>166636.16000000003</v>
      </c>
    </row>
    <row r="104" spans="1:20" x14ac:dyDescent="0.25">
      <c r="A104" s="5" t="s">
        <v>122</v>
      </c>
      <c r="B104" s="18">
        <v>9</v>
      </c>
      <c r="C104" s="12">
        <v>529.30999999999995</v>
      </c>
      <c r="D104" s="12">
        <v>551.03</v>
      </c>
      <c r="E104" s="12">
        <v>2468.71</v>
      </c>
      <c r="F104" s="12">
        <v>637.79999999999995</v>
      </c>
      <c r="G104" s="12">
        <v>173.55</v>
      </c>
      <c r="H104" s="12">
        <v>594.41</v>
      </c>
      <c r="I104" s="12">
        <v>56.42</v>
      </c>
      <c r="J104" s="12">
        <v>0</v>
      </c>
      <c r="K104" s="12">
        <v>0</v>
      </c>
      <c r="L104" s="12">
        <v>0</v>
      </c>
      <c r="M104" s="12">
        <f t="shared" si="2"/>
        <v>5011.2300000000005</v>
      </c>
      <c r="N104" s="12">
        <v>501.13</v>
      </c>
      <c r="O104" s="12">
        <v>251.65</v>
      </c>
      <c r="Q104" s="12">
        <f>227.51+551.23</f>
        <v>778.74</v>
      </c>
      <c r="R104" s="12">
        <f>1152.8+18</f>
        <v>1170.8</v>
      </c>
      <c r="S104" s="12">
        <f>90+576.4</f>
        <v>666.4</v>
      </c>
      <c r="T104" s="12">
        <f t="shared" si="3"/>
        <v>8379.9500000000007</v>
      </c>
    </row>
    <row r="105" spans="1:20" x14ac:dyDescent="0.25">
      <c r="A105" s="5" t="s">
        <v>123</v>
      </c>
      <c r="B105" s="18">
        <v>40</v>
      </c>
      <c r="C105" s="12">
        <v>3182.74</v>
      </c>
      <c r="D105" s="12">
        <v>2034.86</v>
      </c>
      <c r="E105" s="12">
        <v>10383.02</v>
      </c>
      <c r="F105" s="12">
        <v>1095.7</v>
      </c>
      <c r="G105" s="12">
        <v>1043.52</v>
      </c>
      <c r="H105" s="12">
        <v>887.01</v>
      </c>
      <c r="I105" s="12">
        <v>234.8</v>
      </c>
      <c r="J105" s="12">
        <v>0</v>
      </c>
      <c r="K105" s="12">
        <v>8.7799999999999994</v>
      </c>
      <c r="L105" s="12">
        <v>0</v>
      </c>
      <c r="M105" s="12">
        <f t="shared" si="2"/>
        <v>18870.429999999997</v>
      </c>
      <c r="N105" s="12">
        <v>1887.08</v>
      </c>
      <c r="O105" s="12">
        <v>1202.3399999999999</v>
      </c>
      <c r="P105" s="12">
        <v>160</v>
      </c>
      <c r="Q105" s="12">
        <f>2075.75+853.54</f>
        <v>2929.29</v>
      </c>
      <c r="R105" s="12">
        <f>4388.35+40</f>
        <v>4428.3500000000004</v>
      </c>
      <c r="S105" s="12">
        <f>400+2194.22</f>
        <v>2594.2199999999998</v>
      </c>
      <c r="T105" s="12">
        <f t="shared" si="3"/>
        <v>32071.71</v>
      </c>
    </row>
    <row r="106" spans="1:20" x14ac:dyDescent="0.25">
      <c r="A106" s="5" t="s">
        <v>124</v>
      </c>
      <c r="B106" s="18">
        <v>76</v>
      </c>
      <c r="C106" s="12">
        <v>9366.89</v>
      </c>
      <c r="D106" s="12">
        <v>4708.34</v>
      </c>
      <c r="E106" s="12">
        <v>37077.279999999999</v>
      </c>
      <c r="F106" s="12">
        <v>5345.65</v>
      </c>
      <c r="G106" s="12">
        <v>3267.75</v>
      </c>
      <c r="H106" s="12">
        <v>0</v>
      </c>
      <c r="I106" s="12">
        <v>0</v>
      </c>
      <c r="J106" s="12">
        <v>0</v>
      </c>
      <c r="K106" s="12">
        <v>4.42</v>
      </c>
      <c r="L106" s="12">
        <v>0</v>
      </c>
      <c r="M106" s="12">
        <f t="shared" si="2"/>
        <v>59770.329999999994</v>
      </c>
      <c r="N106" s="12">
        <v>5977.06</v>
      </c>
      <c r="O106" s="12">
        <v>3750.66</v>
      </c>
      <c r="P106" s="12">
        <v>380</v>
      </c>
      <c r="Q106" s="12">
        <v>9265.7800000000007</v>
      </c>
      <c r="R106" s="12">
        <v>13975.61</v>
      </c>
      <c r="S106" s="12">
        <v>8089.81</v>
      </c>
      <c r="T106" s="12">
        <f t="shared" si="3"/>
        <v>101209.25</v>
      </c>
    </row>
    <row r="107" spans="1:20" x14ac:dyDescent="0.25">
      <c r="A107" s="5" t="s">
        <v>125</v>
      </c>
      <c r="B107" s="18">
        <v>70</v>
      </c>
      <c r="C107" s="12">
        <v>4410.88</v>
      </c>
      <c r="D107" s="12">
        <v>2422.35</v>
      </c>
      <c r="E107" s="12">
        <v>17571.080000000002</v>
      </c>
      <c r="F107" s="12">
        <v>1518.52</v>
      </c>
      <c r="G107" s="12">
        <v>1627.05</v>
      </c>
      <c r="H107" s="12">
        <v>864.15</v>
      </c>
      <c r="I107" s="12">
        <v>325.39999999999998</v>
      </c>
      <c r="J107" s="12">
        <v>1337.7</v>
      </c>
      <c r="K107" s="12">
        <v>16.559999999999999</v>
      </c>
      <c r="L107" s="12">
        <v>2386.19</v>
      </c>
      <c r="M107" s="12">
        <f t="shared" si="2"/>
        <v>32479.880000000005</v>
      </c>
      <c r="N107" s="12">
        <v>3248.05</v>
      </c>
      <c r="O107" s="12">
        <v>2055.87</v>
      </c>
      <c r="P107" s="12">
        <v>350</v>
      </c>
      <c r="Q107" s="12">
        <f>3572.79+1466.44</f>
        <v>5039.2299999999996</v>
      </c>
      <c r="R107" s="12">
        <f>7556.73+140</f>
        <v>7696.73</v>
      </c>
      <c r="S107" s="12">
        <f>700+3778.42</f>
        <v>4478.42</v>
      </c>
      <c r="T107" s="12">
        <f t="shared" si="3"/>
        <v>55348.180000000008</v>
      </c>
    </row>
    <row r="108" spans="1:20" x14ac:dyDescent="0.25">
      <c r="A108" s="5" t="s">
        <v>126</v>
      </c>
      <c r="B108" s="18">
        <v>275</v>
      </c>
      <c r="C108" s="12">
        <v>40694.43</v>
      </c>
      <c r="D108" s="12">
        <v>21341.119999999999</v>
      </c>
      <c r="E108" s="12">
        <v>138335.09</v>
      </c>
      <c r="F108" s="12">
        <v>21668.04</v>
      </c>
      <c r="G108" s="12">
        <v>7345.32</v>
      </c>
      <c r="H108" s="12">
        <v>5333.18</v>
      </c>
      <c r="I108" s="12">
        <v>0</v>
      </c>
      <c r="J108" s="12">
        <v>0</v>
      </c>
      <c r="K108" s="12">
        <v>0</v>
      </c>
      <c r="L108" s="12">
        <v>0</v>
      </c>
      <c r="M108" s="12">
        <f t="shared" si="2"/>
        <v>234717.18000000002</v>
      </c>
      <c r="N108" s="12">
        <v>23471.72</v>
      </c>
      <c r="O108" s="12">
        <v>14638.02</v>
      </c>
      <c r="P108" s="12">
        <v>3025</v>
      </c>
      <c r="Q108" s="12">
        <v>34571.49</v>
      </c>
      <c r="R108" s="12">
        <v>54565.38</v>
      </c>
      <c r="S108" s="12">
        <v>31407.69</v>
      </c>
      <c r="T108" s="12">
        <f t="shared" si="3"/>
        <v>396396.48000000004</v>
      </c>
    </row>
    <row r="109" spans="1:20" x14ac:dyDescent="0.25">
      <c r="A109" s="5" t="s">
        <v>127</v>
      </c>
      <c r="B109" s="18">
        <v>161</v>
      </c>
      <c r="C109" s="12">
        <v>23955.05</v>
      </c>
      <c r="D109" s="12">
        <v>21313.7</v>
      </c>
      <c r="E109" s="12">
        <v>131378.53</v>
      </c>
      <c r="F109" s="12">
        <v>6401.42</v>
      </c>
      <c r="G109" s="12">
        <v>7267.99</v>
      </c>
      <c r="H109" s="12">
        <v>3878.05</v>
      </c>
      <c r="I109" s="12">
        <v>1925.43</v>
      </c>
      <c r="J109" s="12">
        <v>0</v>
      </c>
      <c r="K109" s="12">
        <v>13736.68</v>
      </c>
      <c r="L109" s="12">
        <v>6747.02</v>
      </c>
      <c r="M109" s="12">
        <f t="shared" si="2"/>
        <v>216603.86999999997</v>
      </c>
      <c r="N109" s="12">
        <v>21660.400000000001</v>
      </c>
      <c r="O109" s="12">
        <v>13398.2</v>
      </c>
      <c r="P109" s="12">
        <v>1449</v>
      </c>
      <c r="Q109" s="12">
        <v>29699.64</v>
      </c>
      <c r="R109" s="12">
        <v>50654.49</v>
      </c>
      <c r="S109" s="12">
        <v>27581.25</v>
      </c>
      <c r="T109" s="12">
        <f t="shared" si="3"/>
        <v>361046.85</v>
      </c>
    </row>
    <row r="110" spans="1:20" x14ac:dyDescent="0.25">
      <c r="A110" s="5" t="s">
        <v>128</v>
      </c>
      <c r="B110" s="18">
        <v>69</v>
      </c>
      <c r="C110" s="12">
        <v>10239.549999999999</v>
      </c>
      <c r="D110" s="12">
        <v>8408.81</v>
      </c>
      <c r="E110" s="12">
        <v>36196.19</v>
      </c>
      <c r="F110" s="12">
        <v>3981.74</v>
      </c>
      <c r="G110" s="12">
        <v>59.53</v>
      </c>
      <c r="H110" s="12">
        <v>1658.04</v>
      </c>
      <c r="I110" s="12">
        <v>0</v>
      </c>
      <c r="J110" s="12">
        <v>3230.58</v>
      </c>
      <c r="K110" s="12">
        <v>0</v>
      </c>
      <c r="L110" s="12">
        <v>0</v>
      </c>
      <c r="M110" s="12">
        <f t="shared" si="2"/>
        <v>63774.44</v>
      </c>
      <c r="N110" s="12">
        <v>6377.44</v>
      </c>
      <c r="O110" s="12">
        <v>3185.59</v>
      </c>
      <c r="P110" s="12">
        <v>0</v>
      </c>
      <c r="Q110" s="12">
        <v>9487.9</v>
      </c>
      <c r="R110" s="12">
        <v>14805.49</v>
      </c>
      <c r="S110" s="12">
        <v>8023.75</v>
      </c>
      <c r="T110" s="12">
        <f t="shared" si="3"/>
        <v>105654.61</v>
      </c>
    </row>
    <row r="111" spans="1:20" x14ac:dyDescent="0.25">
      <c r="A111" s="5" t="s">
        <v>129</v>
      </c>
      <c r="B111" s="18">
        <v>88</v>
      </c>
      <c r="C111" s="12">
        <v>7976.32</v>
      </c>
      <c r="D111" s="12">
        <v>5740.89</v>
      </c>
      <c r="E111" s="12">
        <v>37865.67</v>
      </c>
      <c r="F111" s="12">
        <v>2613.5</v>
      </c>
      <c r="G111" s="12">
        <v>2605.2600000000002</v>
      </c>
      <c r="H111" s="12">
        <v>2240.27</v>
      </c>
      <c r="I111" s="12">
        <v>567.09</v>
      </c>
      <c r="J111" s="12">
        <v>0</v>
      </c>
      <c r="K111" s="12">
        <f>3055.73+0.36</f>
        <v>3056.09</v>
      </c>
      <c r="L111" s="12">
        <v>88.3</v>
      </c>
      <c r="M111" s="12">
        <f t="shared" si="2"/>
        <v>62753.39</v>
      </c>
      <c r="N111" s="12">
        <v>6275.36</v>
      </c>
      <c r="O111" s="12">
        <v>3911.41</v>
      </c>
      <c r="P111" s="12">
        <v>264</v>
      </c>
      <c r="Q111" s="12">
        <v>9199.4599999999991</v>
      </c>
      <c r="R111" s="12">
        <v>14588.03</v>
      </c>
      <c r="S111" s="12">
        <v>8614.02</v>
      </c>
      <c r="T111" s="12">
        <f t="shared" si="3"/>
        <v>105605.67</v>
      </c>
    </row>
    <row r="112" spans="1:20" x14ac:dyDescent="0.25">
      <c r="A112" s="5" t="s">
        <v>130</v>
      </c>
      <c r="B112" s="18">
        <v>61</v>
      </c>
      <c r="C112" s="12">
        <v>6203.02</v>
      </c>
      <c r="D112" s="12">
        <v>4270.88</v>
      </c>
      <c r="E112" s="12">
        <v>17315.66</v>
      </c>
      <c r="F112" s="12">
        <v>2288.06</v>
      </c>
      <c r="G112" s="12">
        <v>2033.76</v>
      </c>
      <c r="H112" s="12">
        <v>1372.84</v>
      </c>
      <c r="I112" s="12">
        <v>0</v>
      </c>
      <c r="J112" s="12">
        <v>0</v>
      </c>
      <c r="K112" s="12">
        <v>0.67</v>
      </c>
      <c r="L112" s="12">
        <v>3762.45</v>
      </c>
      <c r="M112" s="12">
        <f t="shared" si="2"/>
        <v>37247.339999999997</v>
      </c>
      <c r="N112" s="12">
        <v>3724.78</v>
      </c>
      <c r="O112" s="12">
        <v>2338.16</v>
      </c>
      <c r="P112" s="12">
        <v>0</v>
      </c>
      <c r="Q112" s="12">
        <f>4097.19+1693.69</f>
        <v>5790.8799999999992</v>
      </c>
      <c r="R112" s="12">
        <v>8662.0300000000007</v>
      </c>
      <c r="S112" s="12">
        <f>1342+4331.04</f>
        <v>5673.04</v>
      </c>
      <c r="T112" s="12">
        <f t="shared" si="3"/>
        <v>63436.229999999996</v>
      </c>
    </row>
    <row r="113" spans="1:20" x14ac:dyDescent="0.25">
      <c r="A113" s="5" t="s">
        <v>131</v>
      </c>
      <c r="B113" s="18">
        <v>29</v>
      </c>
      <c r="C113" s="12">
        <v>1904.74</v>
      </c>
      <c r="D113" s="12">
        <v>1545.68</v>
      </c>
      <c r="E113" s="12">
        <v>5636.16</v>
      </c>
      <c r="F113" s="12">
        <v>577.67999999999995</v>
      </c>
      <c r="G113" s="12">
        <v>515.24</v>
      </c>
      <c r="H113" s="12">
        <v>999.49</v>
      </c>
      <c r="I113" s="12">
        <v>156.13</v>
      </c>
      <c r="J113" s="12">
        <v>0</v>
      </c>
      <c r="K113" s="12">
        <v>0.4</v>
      </c>
      <c r="L113" s="12">
        <v>18.23</v>
      </c>
      <c r="M113" s="12">
        <f t="shared" si="2"/>
        <v>11353.749999999998</v>
      </c>
      <c r="N113" s="12">
        <v>1135.4000000000001</v>
      </c>
      <c r="O113" s="12">
        <v>709.59</v>
      </c>
      <c r="P113" s="12">
        <v>0</v>
      </c>
      <c r="Q113" s="12">
        <f>453.81+1248.92</f>
        <v>1702.73</v>
      </c>
      <c r="R113" s="12">
        <v>2639.75</v>
      </c>
      <c r="S113" s="12">
        <f>1319.87+290+812</f>
        <v>2421.87</v>
      </c>
      <c r="T113" s="12">
        <f t="shared" si="3"/>
        <v>19963.089999999997</v>
      </c>
    </row>
    <row r="114" spans="1:20" x14ac:dyDescent="0.25">
      <c r="A114" s="5" t="s">
        <v>132</v>
      </c>
      <c r="B114" s="18">
        <v>95</v>
      </c>
      <c r="C114" s="12">
        <v>3739.42</v>
      </c>
      <c r="D114" s="12">
        <v>2452.08</v>
      </c>
      <c r="E114" s="12">
        <v>14068.65</v>
      </c>
      <c r="F114" s="12">
        <v>980.83</v>
      </c>
      <c r="G114" s="12">
        <v>0</v>
      </c>
      <c r="H114" s="12">
        <v>0</v>
      </c>
      <c r="I114" s="12">
        <v>0</v>
      </c>
      <c r="J114" s="12">
        <v>0</v>
      </c>
      <c r="K114" s="12">
        <v>1950</v>
      </c>
      <c r="L114" s="12">
        <v>2452.08</v>
      </c>
      <c r="M114" s="12">
        <f t="shared" si="2"/>
        <v>25643.060000000005</v>
      </c>
      <c r="N114" s="12">
        <v>2564.4299999999998</v>
      </c>
      <c r="O114" s="12">
        <v>1632.12</v>
      </c>
      <c r="P114" s="12">
        <v>570</v>
      </c>
      <c r="Q114" s="12">
        <f>2820.79+1043.84</f>
        <v>3864.63</v>
      </c>
      <c r="R114" s="12">
        <f>5967.97+190</f>
        <v>6157.97</v>
      </c>
      <c r="S114" s="12">
        <f>1425+2984.01</f>
        <v>4409.01</v>
      </c>
      <c r="T114" s="12">
        <f t="shared" si="3"/>
        <v>44841.220000000008</v>
      </c>
    </row>
    <row r="115" spans="1:20" x14ac:dyDescent="0.25">
      <c r="A115" s="5" t="s">
        <v>133</v>
      </c>
      <c r="B115" s="18">
        <v>31</v>
      </c>
      <c r="C115" s="12">
        <v>3159.56</v>
      </c>
      <c r="D115" s="12">
        <v>1864.66</v>
      </c>
      <c r="E115" s="12">
        <v>15795.25</v>
      </c>
      <c r="F115" s="12">
        <v>3080.96</v>
      </c>
      <c r="G115" s="12">
        <v>1035.92</v>
      </c>
      <c r="H115" s="12">
        <v>1087.74</v>
      </c>
      <c r="I115" s="12">
        <v>0</v>
      </c>
      <c r="J115" s="12">
        <v>0</v>
      </c>
      <c r="K115" s="12">
        <v>2.94</v>
      </c>
      <c r="L115" s="12">
        <v>108.55</v>
      </c>
      <c r="M115" s="12">
        <f t="shared" si="2"/>
        <v>26135.579999999998</v>
      </c>
      <c r="N115" s="12">
        <v>2613.56</v>
      </c>
      <c r="O115" s="12">
        <v>1312.26</v>
      </c>
      <c r="P115" s="12">
        <v>124</v>
      </c>
      <c r="Q115" s="12">
        <v>4053.69</v>
      </c>
      <c r="R115" s="12">
        <v>6012.28</v>
      </c>
      <c r="S115" s="12">
        <v>3471.14</v>
      </c>
      <c r="T115" s="12">
        <f t="shared" si="3"/>
        <v>43722.509999999995</v>
      </c>
    </row>
    <row r="116" spans="1:20" x14ac:dyDescent="0.25">
      <c r="A116" s="5" t="s">
        <v>134</v>
      </c>
      <c r="B116" s="18">
        <v>56</v>
      </c>
      <c r="C116" s="12">
        <v>3159.01</v>
      </c>
      <c r="D116" s="12">
        <v>2586.56</v>
      </c>
      <c r="E116" s="12">
        <v>14113.59</v>
      </c>
      <c r="F116" s="12">
        <v>1880.13</v>
      </c>
      <c r="G116" s="12">
        <v>651.41999999999996</v>
      </c>
      <c r="H116" s="12">
        <v>927.96</v>
      </c>
      <c r="I116" s="12">
        <v>0</v>
      </c>
      <c r="J116" s="12">
        <v>0</v>
      </c>
      <c r="K116" s="12">
        <v>0</v>
      </c>
      <c r="L116" s="12">
        <v>14.86</v>
      </c>
      <c r="M116" s="12">
        <f t="shared" si="2"/>
        <v>23333.53</v>
      </c>
      <c r="N116" s="12">
        <v>2333.4</v>
      </c>
      <c r="O116" s="12">
        <v>1464.2</v>
      </c>
      <c r="P116" s="12">
        <v>336</v>
      </c>
      <c r="Q116" s="12">
        <v>3617.04</v>
      </c>
      <c r="R116" s="12">
        <v>5538.23</v>
      </c>
      <c r="S116" s="12">
        <v>3833.11</v>
      </c>
      <c r="T116" s="12">
        <f t="shared" si="3"/>
        <v>40455.51</v>
      </c>
    </row>
    <row r="117" spans="1:20" x14ac:dyDescent="0.25">
      <c r="A117" s="5" t="s">
        <v>135</v>
      </c>
      <c r="B117" s="18">
        <v>209</v>
      </c>
      <c r="C117" s="12">
        <v>44573.51</v>
      </c>
      <c r="D117" s="12">
        <v>50413.45</v>
      </c>
      <c r="E117" s="12">
        <v>100768.11</v>
      </c>
      <c r="F117" s="12">
        <v>15694.68</v>
      </c>
      <c r="G117" s="12">
        <v>7299.71</v>
      </c>
      <c r="H117" s="12">
        <v>2189.98</v>
      </c>
      <c r="I117" s="12">
        <v>1279.5999999999999</v>
      </c>
      <c r="J117" s="12"/>
      <c r="K117" s="12">
        <v>3.14</v>
      </c>
      <c r="L117" s="12">
        <f>3621.19</f>
        <v>3621.19</v>
      </c>
      <c r="M117" s="12">
        <f t="shared" si="2"/>
        <v>225843.37000000002</v>
      </c>
      <c r="N117" s="12">
        <v>22584.33</v>
      </c>
      <c r="O117" s="12">
        <v>14041.75</v>
      </c>
      <c r="P117" s="12">
        <v>2717</v>
      </c>
      <c r="Q117" s="12">
        <v>32407.39</v>
      </c>
      <c r="R117" s="12">
        <v>52911.89</v>
      </c>
      <c r="S117" s="12">
        <v>29381.95</v>
      </c>
      <c r="T117" s="12">
        <f t="shared" si="3"/>
        <v>379887.68000000005</v>
      </c>
    </row>
    <row r="118" spans="1:20" x14ac:dyDescent="0.25">
      <c r="A118" s="5" t="s">
        <v>136</v>
      </c>
      <c r="B118" s="18">
        <v>27</v>
      </c>
      <c r="C118" s="12">
        <v>1583.81</v>
      </c>
      <c r="D118" s="12">
        <v>973.67</v>
      </c>
      <c r="E118" s="12">
        <v>7114.13</v>
      </c>
      <c r="F118" s="12">
        <v>882.77</v>
      </c>
      <c r="G118" s="12">
        <v>285.61</v>
      </c>
      <c r="H118" s="12">
        <v>673.81</v>
      </c>
      <c r="I118" s="12">
        <v>0</v>
      </c>
      <c r="J118" s="12">
        <v>0</v>
      </c>
      <c r="K118" s="12">
        <f>3.4+405</f>
        <v>408.4</v>
      </c>
      <c r="L118" s="12">
        <v>142.81</v>
      </c>
      <c r="M118" s="12">
        <f t="shared" si="2"/>
        <v>12065.01</v>
      </c>
      <c r="N118" s="12">
        <v>1206.54</v>
      </c>
      <c r="O118" s="12">
        <v>752.23</v>
      </c>
      <c r="P118" s="12">
        <v>459</v>
      </c>
      <c r="Q118" s="12">
        <f>446.57+1327.17</f>
        <v>1773.74</v>
      </c>
      <c r="R118" s="12">
        <f>2804.77+54</f>
        <v>2858.77</v>
      </c>
      <c r="S118" s="12">
        <f>135+1402.4+270</f>
        <v>1807.4</v>
      </c>
      <c r="T118" s="12">
        <f t="shared" si="3"/>
        <v>20922.689999999999</v>
      </c>
    </row>
    <row r="119" spans="1:20" x14ac:dyDescent="0.25">
      <c r="A119" s="5" t="s">
        <v>137</v>
      </c>
      <c r="B119" s="18">
        <v>45</v>
      </c>
      <c r="C119" s="12">
        <v>4189.8</v>
      </c>
      <c r="D119" s="12">
        <v>4369.93</v>
      </c>
      <c r="E119" s="12">
        <v>13023.87</v>
      </c>
      <c r="F119" s="12">
        <v>2426.73</v>
      </c>
      <c r="G119" s="12">
        <v>2459.46</v>
      </c>
      <c r="H119" s="12">
        <v>464.11</v>
      </c>
      <c r="I119" s="12">
        <v>1010.75</v>
      </c>
      <c r="J119" s="12">
        <v>0</v>
      </c>
      <c r="K119" s="12">
        <v>9.94</v>
      </c>
      <c r="L119" s="12">
        <v>0</v>
      </c>
      <c r="M119" s="12">
        <f t="shared" si="2"/>
        <v>27954.589999999997</v>
      </c>
      <c r="N119" s="12">
        <v>2795.46</v>
      </c>
      <c r="O119" s="12">
        <v>1754.83</v>
      </c>
      <c r="P119" s="12">
        <v>180</v>
      </c>
      <c r="Q119" s="12">
        <v>4346.5200000000004</v>
      </c>
      <c r="R119" s="12">
        <v>6500.98</v>
      </c>
      <c r="S119" s="12">
        <v>3925.49</v>
      </c>
      <c r="T119" s="12">
        <f t="shared" si="3"/>
        <v>47457.869999999988</v>
      </c>
    </row>
    <row r="120" spans="1:20" x14ac:dyDescent="0.25">
      <c r="A120" s="5" t="s">
        <v>138</v>
      </c>
      <c r="B120" s="18">
        <v>38</v>
      </c>
      <c r="C120" s="12">
        <v>2640.4</v>
      </c>
      <c r="D120" s="12">
        <v>3852.35</v>
      </c>
      <c r="E120" s="12">
        <v>10158.68</v>
      </c>
      <c r="F120" s="12">
        <v>1320.21</v>
      </c>
      <c r="G120" s="12">
        <v>595.22</v>
      </c>
      <c r="H120" s="12">
        <v>1558.27</v>
      </c>
      <c r="I120" s="12">
        <v>0</v>
      </c>
      <c r="J120" s="12">
        <v>875.1</v>
      </c>
      <c r="K120" s="12">
        <v>0</v>
      </c>
      <c r="L120" s="12">
        <v>0</v>
      </c>
      <c r="M120" s="12">
        <f t="shared" si="2"/>
        <v>21000.23</v>
      </c>
      <c r="N120" s="12">
        <v>2097.0500000000002</v>
      </c>
      <c r="O120" s="12">
        <v>1313.4</v>
      </c>
      <c r="P120" s="12">
        <v>0</v>
      </c>
      <c r="Q120" s="12">
        <f>2306.72+893.96</f>
        <v>3200.68</v>
      </c>
      <c r="R120" s="12">
        <v>4876.1400000000003</v>
      </c>
      <c r="S120" s="12">
        <f>950+2438.05</f>
        <v>3388.05</v>
      </c>
      <c r="T120" s="12">
        <f>SUM(M120:S120)</f>
        <v>35875.550000000003</v>
      </c>
    </row>
    <row r="121" spans="1:20" x14ac:dyDescent="0.25">
      <c r="A121" s="5" t="s">
        <v>139</v>
      </c>
      <c r="B121" s="18">
        <v>289</v>
      </c>
      <c r="C121" s="12">
        <v>19732.62</v>
      </c>
      <c r="D121" s="12">
        <v>12419.94</v>
      </c>
      <c r="E121" s="12">
        <v>49546.35</v>
      </c>
      <c r="F121" s="12">
        <v>7115.98</v>
      </c>
      <c r="G121" s="12">
        <v>6363.79</v>
      </c>
      <c r="H121" s="12">
        <v>8386.9</v>
      </c>
      <c r="I121" s="12">
        <v>2224.3000000000002</v>
      </c>
      <c r="J121" s="12">
        <v>0</v>
      </c>
      <c r="K121" s="12">
        <v>46.58</v>
      </c>
      <c r="L121" s="12">
        <v>0</v>
      </c>
      <c r="M121" s="12">
        <f t="shared" si="2"/>
        <v>105836.45999999999</v>
      </c>
      <c r="N121" s="12">
        <v>10583.68</v>
      </c>
      <c r="O121" s="12">
        <v>6647.59</v>
      </c>
      <c r="P121" s="12">
        <v>2312</v>
      </c>
      <c r="Q121" s="12">
        <v>16531.66</v>
      </c>
      <c r="R121" s="12">
        <v>25191.55</v>
      </c>
      <c r="S121" s="12">
        <v>16641.77</v>
      </c>
      <c r="T121" s="12">
        <f t="shared" si="3"/>
        <v>183744.70999999996</v>
      </c>
    </row>
    <row r="122" spans="1:20" x14ac:dyDescent="0.25">
      <c r="A122" s="5" t="s">
        <v>140</v>
      </c>
      <c r="B122" s="18">
        <v>25</v>
      </c>
      <c r="C122" s="12">
        <v>1858.43</v>
      </c>
      <c r="D122" s="12">
        <v>1188.17</v>
      </c>
      <c r="E122" s="12">
        <v>5224.92</v>
      </c>
      <c r="F122" s="12">
        <v>1127.24</v>
      </c>
      <c r="G122" s="12">
        <v>609.32000000000005</v>
      </c>
      <c r="H122" s="12">
        <v>1477.6</v>
      </c>
      <c r="I122" s="12">
        <v>708.34</v>
      </c>
      <c r="J122" s="12">
        <v>0</v>
      </c>
      <c r="K122" s="12">
        <v>19.14</v>
      </c>
      <c r="L122" s="12">
        <v>0</v>
      </c>
      <c r="M122" s="12">
        <f t="shared" si="2"/>
        <v>12213.16</v>
      </c>
      <c r="N122" s="12">
        <v>1221.32</v>
      </c>
      <c r="O122" s="12">
        <v>920.09</v>
      </c>
      <c r="P122" s="12">
        <v>250</v>
      </c>
      <c r="Q122" s="12">
        <f>556.85+1343.45</f>
        <v>1900.3000000000002</v>
      </c>
      <c r="R122" s="12">
        <f>2870.91+28</f>
        <v>2898.91</v>
      </c>
      <c r="S122" s="12">
        <f>125+1435.46+250+700</f>
        <v>2510.46</v>
      </c>
      <c r="T122" s="12">
        <f t="shared" si="3"/>
        <v>21914.239999999998</v>
      </c>
    </row>
    <row r="123" spans="1:20" x14ac:dyDescent="0.25">
      <c r="A123" s="7" t="s">
        <v>155</v>
      </c>
      <c r="B123" s="19">
        <v>38</v>
      </c>
      <c r="C123" s="15">
        <v>10959.5</v>
      </c>
      <c r="D123" s="15">
        <v>6288.24</v>
      </c>
      <c r="E123" s="15">
        <v>46802.48</v>
      </c>
      <c r="F123" s="15">
        <v>6108.58</v>
      </c>
      <c r="G123" s="15">
        <v>1796.64</v>
      </c>
      <c r="H123" s="15">
        <v>1527.14</v>
      </c>
      <c r="I123" s="15">
        <v>0</v>
      </c>
      <c r="J123" s="15">
        <v>0</v>
      </c>
      <c r="K123" s="15">
        <v>2111.66</v>
      </c>
      <c r="L123" s="15">
        <v>0</v>
      </c>
      <c r="M123" s="15">
        <f t="shared" si="2"/>
        <v>75594.240000000005</v>
      </c>
      <c r="N123" s="15">
        <v>7559.66</v>
      </c>
      <c r="O123" s="15">
        <v>4727.0600000000004</v>
      </c>
      <c r="P123" s="15">
        <v>0</v>
      </c>
      <c r="Q123" s="15">
        <f>8315.41+3072.42</f>
        <v>11387.83</v>
      </c>
      <c r="R123" s="15">
        <v>17576.12</v>
      </c>
      <c r="S123" s="15">
        <f>380+8788.12</f>
        <v>9168.1200000000008</v>
      </c>
      <c r="T123" s="15">
        <f>SUM(M123:S123)</f>
        <v>126013.03</v>
      </c>
    </row>
    <row r="124" spans="1:20" x14ac:dyDescent="0.25">
      <c r="A124" s="5"/>
      <c r="B124" s="18"/>
      <c r="C124" s="3"/>
      <c r="D124" s="3"/>
      <c r="E124" s="3"/>
      <c r="F124" s="3"/>
      <c r="G124" s="3"/>
      <c r="H124" s="3"/>
      <c r="I124" s="3"/>
      <c r="J124" s="3"/>
      <c r="K124" s="3"/>
      <c r="L124" s="3"/>
      <c r="M124" s="3"/>
      <c r="N124" s="3"/>
      <c r="O124" s="3"/>
      <c r="P124" s="3"/>
      <c r="Q124" s="3"/>
      <c r="R124" s="3"/>
      <c r="S124" s="3"/>
      <c r="T124" s="3"/>
    </row>
    <row r="125" spans="1:20" x14ac:dyDescent="0.25">
      <c r="A125" s="5" t="s">
        <v>141</v>
      </c>
      <c r="B125" s="24">
        <f t="shared" ref="B125:T125" si="4">SUM(B4:B124)</f>
        <v>16637</v>
      </c>
      <c r="C125" s="11">
        <f t="shared" si="4"/>
        <v>1967125.7449999989</v>
      </c>
      <c r="D125" s="11">
        <f t="shared" si="4"/>
        <v>1806020.9299999997</v>
      </c>
      <c r="E125" s="11">
        <f t="shared" si="4"/>
        <v>8603364.6500000004</v>
      </c>
      <c r="F125" s="11">
        <f t="shared" si="4"/>
        <v>716516.24</v>
      </c>
      <c r="G125" s="11">
        <f t="shared" si="4"/>
        <v>373515.11000000004</v>
      </c>
      <c r="H125" s="11">
        <f t="shared" si="4"/>
        <v>234446.59999999992</v>
      </c>
      <c r="I125" s="11">
        <f t="shared" si="4"/>
        <v>46825.880000000005</v>
      </c>
      <c r="J125" s="11">
        <f t="shared" si="4"/>
        <v>119269.95999999999</v>
      </c>
      <c r="K125" s="11">
        <f t="shared" si="4"/>
        <v>582534.38000000024</v>
      </c>
      <c r="L125" s="11">
        <f t="shared" si="4"/>
        <v>866302.83999999985</v>
      </c>
      <c r="M125" s="11">
        <f t="shared" si="4"/>
        <v>15315922.335000001</v>
      </c>
      <c r="N125" s="11">
        <f t="shared" si="4"/>
        <v>1473512.5399999998</v>
      </c>
      <c r="O125" s="11">
        <f t="shared" si="4"/>
        <v>821353.73000000033</v>
      </c>
      <c r="P125" s="11">
        <f t="shared" si="4"/>
        <v>226798.15999999997</v>
      </c>
      <c r="Q125" s="11">
        <f t="shared" si="4"/>
        <v>2148945.9699999993</v>
      </c>
      <c r="R125" s="11">
        <f t="shared" si="4"/>
        <v>3541636.1999999997</v>
      </c>
      <c r="S125" s="11">
        <f t="shared" si="4"/>
        <v>2119292.7100000009</v>
      </c>
      <c r="T125" s="11">
        <f t="shared" si="4"/>
        <v>25647461.644999996</v>
      </c>
    </row>
    <row r="128" spans="1:20" x14ac:dyDescent="0.25">
      <c r="B128" s="2" t="s">
        <v>147</v>
      </c>
      <c r="C128" s="1"/>
      <c r="D128" s="1"/>
      <c r="E128" s="1"/>
      <c r="F128" s="1"/>
      <c r="G128" s="1"/>
      <c r="H128" s="1"/>
      <c r="I128" s="1"/>
      <c r="J128" s="1"/>
      <c r="K128" s="1"/>
      <c r="L128" s="1"/>
      <c r="M128" s="1"/>
      <c r="N128" s="1"/>
      <c r="O128" s="1"/>
    </row>
    <row r="129" spans="2:15" x14ac:dyDescent="0.25">
      <c r="B129" s="1"/>
      <c r="C129" s="1"/>
      <c r="D129" s="1"/>
      <c r="E129" s="1"/>
      <c r="F129" s="1"/>
      <c r="G129" s="1"/>
      <c r="H129" s="1"/>
      <c r="I129" s="1"/>
      <c r="J129" s="1"/>
      <c r="K129" s="1"/>
      <c r="L129" s="1"/>
      <c r="M129" s="1"/>
      <c r="N129" s="1"/>
      <c r="O129" s="1"/>
    </row>
    <row r="130" spans="2:15" x14ac:dyDescent="0.25">
      <c r="B130" s="1" t="s">
        <v>168</v>
      </c>
      <c r="C130" s="1"/>
      <c r="D130" s="1"/>
      <c r="E130" s="1"/>
      <c r="F130" s="1"/>
      <c r="G130" s="17"/>
      <c r="H130" s="17"/>
      <c r="I130" s="17"/>
      <c r="J130" s="17"/>
      <c r="K130" s="17"/>
      <c r="L130" s="17"/>
      <c r="M130" s="17"/>
      <c r="N130" s="17"/>
      <c r="O130" s="17"/>
    </row>
    <row r="131" spans="2:15" x14ac:dyDescent="0.25">
      <c r="B131" s="1" t="s">
        <v>145</v>
      </c>
      <c r="C131" s="1"/>
      <c r="D131" s="1"/>
      <c r="E131" s="1"/>
      <c r="F131" s="1"/>
      <c r="G131" s="17"/>
      <c r="H131" s="17"/>
      <c r="I131" s="17"/>
      <c r="J131" s="17"/>
      <c r="K131" s="17"/>
      <c r="L131" s="17"/>
      <c r="M131" s="17"/>
      <c r="N131" s="17"/>
      <c r="O131" s="17"/>
    </row>
    <row r="132" spans="2:15" x14ac:dyDescent="0.25">
      <c r="B132" s="1" t="s">
        <v>144</v>
      </c>
      <c r="C132" s="1"/>
      <c r="D132" s="1"/>
      <c r="E132" s="1"/>
      <c r="F132" s="1"/>
      <c r="G132" s="17"/>
      <c r="H132" s="17"/>
      <c r="I132" s="17"/>
      <c r="J132" s="17"/>
      <c r="K132" s="17"/>
      <c r="L132" s="17"/>
      <c r="M132" s="17"/>
      <c r="N132" s="17"/>
      <c r="O132" s="17"/>
    </row>
    <row r="133" spans="2:15" x14ac:dyDescent="0.25">
      <c r="B133" s="1" t="s">
        <v>146</v>
      </c>
      <c r="C133" s="1"/>
      <c r="D133" s="1"/>
      <c r="E133" s="1"/>
      <c r="F133" s="1"/>
      <c r="G133" s="17"/>
      <c r="H133" s="17"/>
      <c r="I133" s="17"/>
      <c r="J133" s="17"/>
      <c r="K133" s="17"/>
      <c r="L133" s="17"/>
      <c r="M133" s="17"/>
      <c r="N133" s="17"/>
      <c r="O133" s="17"/>
    </row>
    <row r="134" spans="2:15" x14ac:dyDescent="0.25">
      <c r="B134" s="1"/>
      <c r="C134" s="1"/>
      <c r="D134" s="1"/>
      <c r="E134" s="1"/>
      <c r="F134" s="1"/>
      <c r="G134" s="1"/>
      <c r="H134" s="1"/>
      <c r="I134" s="1"/>
      <c r="J134" s="1"/>
      <c r="K134" s="1"/>
      <c r="L134" s="1"/>
      <c r="M134" s="1"/>
      <c r="N134" s="1"/>
      <c r="O134" s="1"/>
    </row>
    <row r="135" spans="2:15" x14ac:dyDescent="0.25">
      <c r="B135" s="1"/>
      <c r="C135" s="1"/>
      <c r="D135" s="1"/>
      <c r="E135" s="1"/>
      <c r="F135" s="1"/>
      <c r="G135" s="1"/>
      <c r="H135" s="1"/>
      <c r="I135" s="1"/>
      <c r="J135" s="1"/>
      <c r="K135" s="1"/>
      <c r="L135" s="1"/>
      <c r="M135" s="1"/>
      <c r="N135" s="1"/>
      <c r="O135" s="1"/>
    </row>
  </sheetData>
  <mergeCells count="1">
    <mergeCell ref="A1:T1"/>
  </mergeCells>
  <printOptions horizontalCentered="1"/>
  <pageMargins left="0.25" right="0.25" top="0.5" bottom="0.5" header="0.3" footer="0.3"/>
  <pageSetup paperSize="5" scale="60" orientation="landscape" copies="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5"/>
  <sheetViews>
    <sheetView topLeftCell="F109" workbookViewId="0">
      <selection activeCell="R124" sqref="R124"/>
    </sheetView>
  </sheetViews>
  <sheetFormatPr defaultRowHeight="15" x14ac:dyDescent="0.25"/>
  <cols>
    <col min="1" max="1" width="14.42578125" customWidth="1"/>
    <col min="2" max="2" width="10.5703125" customWidth="1"/>
    <col min="3" max="5" width="14.140625" bestFit="1" customWidth="1"/>
    <col min="6" max="6" width="12.42578125" bestFit="1" customWidth="1"/>
    <col min="7" max="7" width="12.42578125" customWidth="1"/>
    <col min="8" max="8" width="12.42578125" bestFit="1" customWidth="1"/>
    <col min="9" max="9" width="11.42578125" bestFit="1" customWidth="1"/>
    <col min="10" max="10" width="12.28515625" customWidth="1"/>
    <col min="11" max="11" width="12.42578125" bestFit="1" customWidth="1"/>
    <col min="12" max="12" width="13.85546875" customWidth="1"/>
    <col min="13" max="13" width="14.85546875" customWidth="1"/>
    <col min="14" max="14" width="12.7109375" customWidth="1"/>
    <col min="15" max="15" width="12.28515625" customWidth="1"/>
    <col min="16" max="16" width="12.42578125" bestFit="1" customWidth="1"/>
    <col min="17" max="17" width="14.140625" customWidth="1"/>
    <col min="18" max="18" width="13.85546875" customWidth="1"/>
    <col min="19" max="19" width="14.140625" bestFit="1" customWidth="1"/>
    <col min="20" max="20" width="15.140625" bestFit="1" customWidth="1"/>
  </cols>
  <sheetData>
    <row r="1" spans="1:20" ht="23.25" x14ac:dyDescent="0.35">
      <c r="A1" s="67" t="s">
        <v>159</v>
      </c>
      <c r="B1" s="67"/>
      <c r="C1" s="67"/>
      <c r="D1" s="67"/>
      <c r="E1" s="67"/>
      <c r="F1" s="67"/>
      <c r="G1" s="67"/>
      <c r="H1" s="67"/>
      <c r="I1" s="67"/>
      <c r="J1" s="67"/>
      <c r="K1" s="67"/>
      <c r="L1" s="67"/>
      <c r="M1" s="67"/>
      <c r="N1" s="67"/>
      <c r="O1" s="67"/>
      <c r="P1" s="67"/>
      <c r="Q1" s="67"/>
      <c r="R1" s="67"/>
      <c r="S1" s="67"/>
      <c r="T1" s="67"/>
    </row>
    <row r="3" spans="1:20" ht="38.25" customHeight="1" x14ac:dyDescent="0.25">
      <c r="A3" s="7" t="s">
        <v>0</v>
      </c>
      <c r="B3" s="26" t="s">
        <v>165</v>
      </c>
      <c r="C3" s="23" t="s">
        <v>3</v>
      </c>
      <c r="D3" s="23" t="s">
        <v>4</v>
      </c>
      <c r="E3" s="23" t="s">
        <v>5</v>
      </c>
      <c r="F3" s="23" t="s">
        <v>6</v>
      </c>
      <c r="G3" s="23" t="s">
        <v>7</v>
      </c>
      <c r="H3" s="23" t="s">
        <v>8</v>
      </c>
      <c r="I3" s="26" t="s">
        <v>160</v>
      </c>
      <c r="J3" s="23" t="s">
        <v>26</v>
      </c>
      <c r="K3" s="23" t="s">
        <v>10</v>
      </c>
      <c r="L3" s="8" t="s">
        <v>11</v>
      </c>
      <c r="M3" s="23" t="s">
        <v>157</v>
      </c>
      <c r="N3" s="23" t="s">
        <v>15</v>
      </c>
      <c r="O3" s="23" t="s">
        <v>18</v>
      </c>
      <c r="P3" s="27" t="s">
        <v>161</v>
      </c>
      <c r="Q3" s="27" t="s">
        <v>162</v>
      </c>
      <c r="R3" s="27" t="s">
        <v>163</v>
      </c>
      <c r="S3" s="27" t="s">
        <v>164</v>
      </c>
      <c r="T3" s="23" t="s">
        <v>157</v>
      </c>
    </row>
    <row r="4" spans="1:20" x14ac:dyDescent="0.25">
      <c r="A4" s="5" t="s">
        <v>25</v>
      </c>
      <c r="B4" s="25">
        <v>62</v>
      </c>
      <c r="C4" s="9">
        <v>2381.31</v>
      </c>
      <c r="D4" s="10">
        <v>2322.34</v>
      </c>
      <c r="E4" s="11">
        <v>9017.77</v>
      </c>
      <c r="F4" s="11">
        <v>995.51</v>
      </c>
      <c r="G4" s="11">
        <v>585.57000000000005</v>
      </c>
      <c r="H4" s="11">
        <v>702.68</v>
      </c>
      <c r="I4" s="11">
        <v>312.3</v>
      </c>
      <c r="J4" s="11">
        <v>741.73</v>
      </c>
      <c r="K4" s="11">
        <v>9.8800000000000008</v>
      </c>
      <c r="L4" s="11">
        <v>0</v>
      </c>
      <c r="M4" s="11">
        <f t="shared" ref="M4:M68" si="0">SUM(C4:L4)</f>
        <v>17069.09</v>
      </c>
      <c r="N4" s="11">
        <v>1706.92</v>
      </c>
      <c r="O4" s="11">
        <v>1072.48</v>
      </c>
      <c r="P4" s="11">
        <v>744</v>
      </c>
      <c r="Q4" s="11">
        <f>1877.68+771.14</f>
        <v>2648.82</v>
      </c>
      <c r="R4" s="11">
        <v>3969.81</v>
      </c>
      <c r="S4" s="11">
        <f>620+1984.96</f>
        <v>2604.96</v>
      </c>
      <c r="T4" s="11">
        <f t="shared" ref="T4:T68" si="1">SUM(M4:S4)</f>
        <v>29816.080000000002</v>
      </c>
    </row>
    <row r="5" spans="1:20" x14ac:dyDescent="0.25">
      <c r="A5" s="5" t="s">
        <v>27</v>
      </c>
      <c r="B5" s="18">
        <v>126</v>
      </c>
      <c r="C5" s="12">
        <v>6747.05</v>
      </c>
      <c r="D5" s="12">
        <v>5475.06</v>
      </c>
      <c r="E5" s="12">
        <v>31080.65</v>
      </c>
      <c r="F5" s="12">
        <v>5032.63</v>
      </c>
      <c r="G5" s="12">
        <v>2101.54</v>
      </c>
      <c r="H5" s="12">
        <v>1659.11</v>
      </c>
      <c r="I5" s="12">
        <v>1106.07</v>
      </c>
      <c r="J5" s="12">
        <v>5530.37</v>
      </c>
      <c r="K5" s="12">
        <v>0</v>
      </c>
      <c r="L5" s="12">
        <v>0</v>
      </c>
      <c r="M5" s="12">
        <f t="shared" si="0"/>
        <v>58732.480000000003</v>
      </c>
      <c r="N5" s="12">
        <v>5873.25</v>
      </c>
      <c r="O5" s="12">
        <v>3678.8</v>
      </c>
      <c r="P5" s="12">
        <v>1260</v>
      </c>
      <c r="Q5" s="12">
        <v>8970.2199999999993</v>
      </c>
      <c r="R5" s="12">
        <v>13901.5</v>
      </c>
      <c r="S5" s="12">
        <v>8714.7900000000009</v>
      </c>
      <c r="T5" s="12">
        <f t="shared" si="1"/>
        <v>101131.04000000001</v>
      </c>
    </row>
    <row r="6" spans="1:20" x14ac:dyDescent="0.25">
      <c r="A6" s="5" t="s">
        <v>28</v>
      </c>
      <c r="B6" s="18">
        <v>107</v>
      </c>
      <c r="C6" s="12">
        <v>13876.95</v>
      </c>
      <c r="D6" s="12">
        <v>14445.67</v>
      </c>
      <c r="E6" s="12">
        <v>62787.48</v>
      </c>
      <c r="F6" s="12">
        <v>10009.6</v>
      </c>
      <c r="G6" s="12">
        <v>3412.37</v>
      </c>
      <c r="H6" s="12">
        <v>1819.92</v>
      </c>
      <c r="I6" s="12">
        <v>0</v>
      </c>
      <c r="J6" s="12">
        <v>0</v>
      </c>
      <c r="K6" s="12">
        <v>3113.58</v>
      </c>
      <c r="L6" s="12">
        <v>0</v>
      </c>
      <c r="M6" s="12">
        <f t="shared" si="0"/>
        <v>109465.57</v>
      </c>
      <c r="N6" s="12">
        <v>10946.56</v>
      </c>
      <c r="O6" s="12">
        <v>6828.87</v>
      </c>
      <c r="P6" s="12">
        <v>1177</v>
      </c>
      <c r="Q6" s="12">
        <v>16165.33</v>
      </c>
      <c r="R6" s="12">
        <v>25448.2</v>
      </c>
      <c r="S6" s="12">
        <v>14329.1</v>
      </c>
      <c r="T6" s="12">
        <f t="shared" si="1"/>
        <v>184360.63</v>
      </c>
    </row>
    <row r="7" spans="1:20" x14ac:dyDescent="0.25">
      <c r="A7" s="5" t="s">
        <v>29</v>
      </c>
      <c r="B7" s="18">
        <v>25</v>
      </c>
      <c r="C7" s="12">
        <v>1786.65</v>
      </c>
      <c r="D7" s="12">
        <v>2709.3</v>
      </c>
      <c r="E7" s="12">
        <v>7454.19</v>
      </c>
      <c r="F7" s="12">
        <v>0</v>
      </c>
      <c r="G7" s="12">
        <v>439.34</v>
      </c>
      <c r="H7" s="12">
        <v>439.34</v>
      </c>
      <c r="I7" s="12">
        <v>234.32</v>
      </c>
      <c r="J7" s="12">
        <v>0</v>
      </c>
      <c r="K7" s="12">
        <v>0.24</v>
      </c>
      <c r="L7" s="12">
        <v>0</v>
      </c>
      <c r="M7" s="12">
        <f t="shared" si="0"/>
        <v>13063.38</v>
      </c>
      <c r="N7" s="12">
        <v>1306.3499999999999</v>
      </c>
      <c r="O7" s="12">
        <v>817.81</v>
      </c>
      <c r="P7" s="12">
        <v>0</v>
      </c>
      <c r="Q7" s="12">
        <f>1436.96+549.21</f>
        <v>1986.17</v>
      </c>
      <c r="R7" s="12">
        <v>3037.48</v>
      </c>
      <c r="S7" s="12">
        <f>250+1518.76</f>
        <v>1768.76</v>
      </c>
      <c r="T7" s="12">
        <f t="shared" si="1"/>
        <v>21979.949999999997</v>
      </c>
    </row>
    <row r="8" spans="1:20" x14ac:dyDescent="0.25">
      <c r="A8" s="5" t="s">
        <v>30</v>
      </c>
      <c r="B8" s="18">
        <v>109</v>
      </c>
      <c r="C8" s="12">
        <v>6726.86</v>
      </c>
      <c r="D8" s="12">
        <v>7421.76</v>
      </c>
      <c r="E8" s="12">
        <v>39920.199999999997</v>
      </c>
      <c r="F8" s="12">
        <v>1593.5</v>
      </c>
      <c r="G8" s="12">
        <v>0</v>
      </c>
      <c r="H8" s="12">
        <v>879.77</v>
      </c>
      <c r="I8" s="12">
        <v>0</v>
      </c>
      <c r="J8" s="12">
        <v>0</v>
      </c>
      <c r="K8" s="12">
        <v>2030</v>
      </c>
      <c r="L8" s="12">
        <v>992.18</v>
      </c>
      <c r="M8" s="12">
        <f t="shared" si="0"/>
        <v>59564.26999999999</v>
      </c>
      <c r="N8" s="12">
        <v>5956.44</v>
      </c>
      <c r="O8" s="12">
        <v>3715.84</v>
      </c>
      <c r="P8" s="12">
        <v>763</v>
      </c>
      <c r="Q8" s="12">
        <v>8796.16</v>
      </c>
      <c r="R8" s="12">
        <v>13956.31</v>
      </c>
      <c r="S8" s="12">
        <v>8558.66</v>
      </c>
      <c r="T8" s="12">
        <f t="shared" si="1"/>
        <v>101310.68</v>
      </c>
    </row>
    <row r="9" spans="1:20" x14ac:dyDescent="0.25">
      <c r="A9" s="5" t="s">
        <v>31</v>
      </c>
      <c r="B9" s="18">
        <v>43</v>
      </c>
      <c r="C9" s="12">
        <v>2305.4299999999998</v>
      </c>
      <c r="D9" s="12">
        <v>2040.88</v>
      </c>
      <c r="E9" s="12">
        <v>6935.22</v>
      </c>
      <c r="F9" s="12">
        <v>1681.85</v>
      </c>
      <c r="G9" s="12">
        <v>1795.24</v>
      </c>
      <c r="H9" s="12">
        <v>1077.1500000000001</v>
      </c>
      <c r="I9" s="12">
        <v>321.27</v>
      </c>
      <c r="J9" s="12">
        <v>1681.85</v>
      </c>
      <c r="K9" s="12">
        <v>1364.77</v>
      </c>
      <c r="L9" s="12">
        <v>1.1100000000000001</v>
      </c>
      <c r="M9" s="12">
        <f t="shared" si="0"/>
        <v>19204.77</v>
      </c>
      <c r="N9" s="12">
        <v>1920.48</v>
      </c>
      <c r="O9" s="12">
        <v>1199.3900000000001</v>
      </c>
      <c r="P9" s="12">
        <v>215</v>
      </c>
      <c r="Q9" s="12">
        <f>2112.57+749.39</f>
        <v>2861.96</v>
      </c>
      <c r="R9" s="12">
        <f>4464.95+86</f>
        <v>4550.95</v>
      </c>
      <c r="S9" s="12">
        <f>645+2232.52</f>
        <v>2877.52</v>
      </c>
      <c r="T9" s="12">
        <f t="shared" si="1"/>
        <v>32830.07</v>
      </c>
    </row>
    <row r="10" spans="1:20" x14ac:dyDescent="0.25">
      <c r="A10" s="5" t="s">
        <v>32</v>
      </c>
      <c r="B10" s="18">
        <v>84</v>
      </c>
      <c r="C10" s="12">
        <v>7244.37</v>
      </c>
      <c r="D10" s="12">
        <v>6721.87</v>
      </c>
      <c r="E10" s="12">
        <v>13587.45</v>
      </c>
      <c r="F10" s="12">
        <v>4552.6400000000003</v>
      </c>
      <c r="G10" s="12">
        <v>2491.79</v>
      </c>
      <c r="H10" s="12">
        <v>0</v>
      </c>
      <c r="I10" s="12">
        <v>0</v>
      </c>
      <c r="J10" s="12">
        <v>0</v>
      </c>
      <c r="K10" s="12">
        <v>0</v>
      </c>
      <c r="L10" s="12">
        <v>1936.25</v>
      </c>
      <c r="M10" s="12">
        <f t="shared" si="0"/>
        <v>36534.370000000003</v>
      </c>
      <c r="N10" s="12">
        <v>3653.44</v>
      </c>
      <c r="O10" s="12">
        <v>1825.85</v>
      </c>
      <c r="P10" s="12">
        <v>2358.7199999999998</v>
      </c>
      <c r="Q10" s="12">
        <v>5458.56</v>
      </c>
      <c r="R10" s="12">
        <v>8570.73</v>
      </c>
      <c r="S10" s="12">
        <v>5461.37</v>
      </c>
      <c r="T10" s="12">
        <f t="shared" si="1"/>
        <v>63863.040000000001</v>
      </c>
    </row>
    <row r="11" spans="1:20" x14ac:dyDescent="0.25">
      <c r="A11" s="5" t="s">
        <v>33</v>
      </c>
      <c r="B11" s="18">
        <v>369</v>
      </c>
      <c r="C11" s="12">
        <v>68720.990000000005</v>
      </c>
      <c r="D11" s="12">
        <v>58315.27</v>
      </c>
      <c r="E11" s="12">
        <v>336458.23</v>
      </c>
      <c r="F11" s="12">
        <v>28568.2</v>
      </c>
      <c r="G11" s="12">
        <v>10651.56</v>
      </c>
      <c r="H11" s="12">
        <v>9001.84</v>
      </c>
      <c r="I11" s="12">
        <v>0</v>
      </c>
      <c r="J11" s="12">
        <v>181.65</v>
      </c>
      <c r="K11" s="12">
        <v>54903.24</v>
      </c>
      <c r="L11" s="12">
        <v>0</v>
      </c>
      <c r="M11" s="12">
        <f t="shared" si="0"/>
        <v>566800.9800000001</v>
      </c>
      <c r="N11" s="12">
        <v>56680.1</v>
      </c>
      <c r="O11" s="12">
        <v>38283.949999999997</v>
      </c>
      <c r="P11" s="12">
        <v>0</v>
      </c>
      <c r="Q11" s="12">
        <v>80363.83</v>
      </c>
      <c r="R11" s="12">
        <v>141063.96</v>
      </c>
      <c r="S11" s="12">
        <v>69987.12</v>
      </c>
      <c r="T11" s="12">
        <f t="shared" si="1"/>
        <v>953179.94</v>
      </c>
    </row>
    <row r="12" spans="1:20" x14ac:dyDescent="0.25">
      <c r="A12" s="5" t="s">
        <v>34</v>
      </c>
      <c r="B12" s="18">
        <v>60</v>
      </c>
      <c r="C12" s="12">
        <v>4550.51</v>
      </c>
      <c r="D12" s="12">
        <v>4811.6499999999996</v>
      </c>
      <c r="E12" s="12">
        <v>13706.49</v>
      </c>
      <c r="F12" s="12">
        <v>2909.39</v>
      </c>
      <c r="G12" s="12">
        <v>1380.09</v>
      </c>
      <c r="H12" s="12">
        <v>820.58</v>
      </c>
      <c r="I12" s="12">
        <v>261.10000000000002</v>
      </c>
      <c r="J12" s="12">
        <v>0</v>
      </c>
      <c r="K12" s="12">
        <v>0</v>
      </c>
      <c r="L12" s="12">
        <v>0</v>
      </c>
      <c r="M12" s="12">
        <f t="shared" si="0"/>
        <v>28439.81</v>
      </c>
      <c r="N12" s="12">
        <v>2843.98</v>
      </c>
      <c r="O12" s="12">
        <v>1416.39</v>
      </c>
      <c r="P12" s="12">
        <v>955</v>
      </c>
      <c r="Q12" s="12">
        <f>3128.5+997.35</f>
        <v>4125.8500000000004</v>
      </c>
      <c r="R12" s="12">
        <f>6540.06+284.99</f>
        <v>6825.05</v>
      </c>
      <c r="S12" s="12">
        <f>872.42+3270.05</f>
        <v>4142.47</v>
      </c>
      <c r="T12" s="12">
        <f t="shared" si="1"/>
        <v>48748.55</v>
      </c>
    </row>
    <row r="13" spans="1:20" x14ac:dyDescent="0.25">
      <c r="A13" s="5" t="s">
        <v>35</v>
      </c>
      <c r="B13" s="18">
        <v>280</v>
      </c>
      <c r="C13" s="12">
        <v>26250.7</v>
      </c>
      <c r="D13" s="12">
        <v>36615.82</v>
      </c>
      <c r="E13" s="12">
        <v>62116.33</v>
      </c>
      <c r="F13" s="12">
        <v>30417.29</v>
      </c>
      <c r="G13" s="12">
        <v>12288.59</v>
      </c>
      <c r="H13" s="12">
        <v>8004.56</v>
      </c>
      <c r="I13" s="12">
        <v>0</v>
      </c>
      <c r="J13" s="12">
        <v>15398.16</v>
      </c>
      <c r="K13" s="12">
        <f>9765.53+74.66</f>
        <v>9840.19</v>
      </c>
      <c r="L13" s="12">
        <v>0</v>
      </c>
      <c r="M13" s="12">
        <f t="shared" si="0"/>
        <v>200931.64</v>
      </c>
      <c r="N13" s="12">
        <v>20093.18</v>
      </c>
      <c r="O13" s="12">
        <v>12622.18</v>
      </c>
      <c r="P13" s="12">
        <v>3080</v>
      </c>
      <c r="Q13" s="12">
        <v>31418.68</v>
      </c>
      <c r="R13" s="12">
        <v>47289.4</v>
      </c>
      <c r="S13" s="12">
        <v>27564.7</v>
      </c>
      <c r="T13" s="12">
        <f t="shared" si="1"/>
        <v>342999.78</v>
      </c>
    </row>
    <row r="14" spans="1:20" x14ac:dyDescent="0.25">
      <c r="A14" s="5" t="s">
        <v>36</v>
      </c>
      <c r="B14" s="18">
        <v>84</v>
      </c>
      <c r="C14" s="12">
        <v>8984.81</v>
      </c>
      <c r="D14" s="12">
        <v>4190.62</v>
      </c>
      <c r="E14" s="12">
        <v>15104.31</v>
      </c>
      <c r="F14" s="12">
        <v>5365.98</v>
      </c>
      <c r="G14" s="12">
        <v>1767.35</v>
      </c>
      <c r="H14" s="12">
        <v>0</v>
      </c>
      <c r="I14" s="12">
        <v>0</v>
      </c>
      <c r="J14" s="12">
        <v>0</v>
      </c>
      <c r="K14" s="12">
        <v>1938.27</v>
      </c>
      <c r="L14" s="12">
        <f>2282.27+6920.49</f>
        <v>9202.76</v>
      </c>
      <c r="M14" s="12">
        <f t="shared" si="0"/>
        <v>46554.1</v>
      </c>
      <c r="N14" s="12">
        <v>4655.41</v>
      </c>
      <c r="O14" s="12">
        <v>2903.58</v>
      </c>
      <c r="P14" s="12">
        <v>924</v>
      </c>
      <c r="Q14" s="12">
        <v>6862.07</v>
      </c>
      <c r="R14" s="12">
        <v>10822.62</v>
      </c>
      <c r="S14" s="12">
        <v>6671.31</v>
      </c>
      <c r="T14" s="12">
        <f t="shared" si="1"/>
        <v>79393.09</v>
      </c>
    </row>
    <row r="15" spans="1:20" x14ac:dyDescent="0.25">
      <c r="A15" s="5" t="s">
        <v>37</v>
      </c>
      <c r="B15" s="18">
        <v>24</v>
      </c>
      <c r="C15" s="12">
        <v>1480.48</v>
      </c>
      <c r="D15" s="12">
        <v>4878.28</v>
      </c>
      <c r="E15" s="12">
        <v>4639.08</v>
      </c>
      <c r="F15" s="12">
        <v>1128.5999999999999</v>
      </c>
      <c r="G15" s="12">
        <v>400.5</v>
      </c>
      <c r="H15" s="12">
        <v>813.07</v>
      </c>
      <c r="I15" s="12">
        <v>242.7</v>
      </c>
      <c r="J15" s="12">
        <v>910.18</v>
      </c>
      <c r="K15" s="12">
        <v>0</v>
      </c>
      <c r="L15" s="12">
        <v>0</v>
      </c>
      <c r="M15" s="12">
        <f t="shared" si="0"/>
        <v>14492.890000000001</v>
      </c>
      <c r="N15" s="12">
        <v>1449.29</v>
      </c>
      <c r="O15" s="12">
        <v>907.38</v>
      </c>
      <c r="P15" s="12">
        <v>192</v>
      </c>
      <c r="Q15" s="12">
        <v>2206.4699999999998</v>
      </c>
      <c r="R15" s="12">
        <v>3369.88</v>
      </c>
      <c r="S15" s="12">
        <v>2044.97</v>
      </c>
      <c r="T15" s="12">
        <f t="shared" si="1"/>
        <v>24662.880000000005</v>
      </c>
    </row>
    <row r="16" spans="1:20" x14ac:dyDescent="0.25">
      <c r="A16" s="5" t="s">
        <v>38</v>
      </c>
      <c r="B16" s="18">
        <v>81</v>
      </c>
      <c r="C16" s="12">
        <v>5223.62</v>
      </c>
      <c r="D16" s="12">
        <v>4282.83</v>
      </c>
      <c r="E16" s="12">
        <v>16523.28</v>
      </c>
      <c r="F16" s="12">
        <v>3533.56</v>
      </c>
      <c r="G16" s="12">
        <v>3355.08</v>
      </c>
      <c r="H16" s="12">
        <v>3706.59</v>
      </c>
      <c r="I16" s="12">
        <v>873.88</v>
      </c>
      <c r="J16" s="12">
        <v>0</v>
      </c>
      <c r="K16" s="12">
        <v>54.35</v>
      </c>
      <c r="L16" s="12">
        <v>0</v>
      </c>
      <c r="M16" s="12">
        <f t="shared" si="0"/>
        <v>37553.19</v>
      </c>
      <c r="N16" s="12">
        <v>3755.32</v>
      </c>
      <c r="O16" s="12">
        <v>3267.5</v>
      </c>
      <c r="P16" s="12">
        <v>405</v>
      </c>
      <c r="Q16" s="12">
        <v>5370.11</v>
      </c>
      <c r="R16" s="12">
        <v>8915.2000000000007</v>
      </c>
      <c r="S16" s="12">
        <v>5672.6</v>
      </c>
      <c r="T16" s="12">
        <f t="shared" si="1"/>
        <v>64938.920000000006</v>
      </c>
    </row>
    <row r="17" spans="1:20" x14ac:dyDescent="0.25">
      <c r="A17" s="28" t="s">
        <v>149</v>
      </c>
      <c r="B17" s="18">
        <v>124</v>
      </c>
      <c r="C17" s="12">
        <v>7658.96</v>
      </c>
      <c r="D17" s="12">
        <v>7632.02</v>
      </c>
      <c r="E17" s="12">
        <v>30659.69</v>
      </c>
      <c r="F17" s="12">
        <v>4882.71</v>
      </c>
      <c r="G17" s="12">
        <v>1877.93</v>
      </c>
      <c r="H17" s="12">
        <v>2631.87</v>
      </c>
      <c r="I17" s="12">
        <v>625.33000000000004</v>
      </c>
      <c r="J17" s="12">
        <v>0</v>
      </c>
      <c r="K17" s="12">
        <f>4745.27+6.84</f>
        <v>4752.1100000000006</v>
      </c>
      <c r="L17" s="12">
        <v>764.88</v>
      </c>
      <c r="M17" s="12">
        <f t="shared" si="0"/>
        <v>61485.5</v>
      </c>
      <c r="N17" s="12">
        <v>0</v>
      </c>
      <c r="O17" s="12">
        <v>0</v>
      </c>
      <c r="P17" s="12">
        <v>747</v>
      </c>
      <c r="Q17" s="12">
        <v>8099.96</v>
      </c>
      <c r="R17" s="12">
        <v>12184.12</v>
      </c>
      <c r="S17" s="12">
        <f>1240+5968.06</f>
        <v>7208.06</v>
      </c>
      <c r="T17" s="12">
        <f t="shared" si="1"/>
        <v>89724.64</v>
      </c>
    </row>
    <row r="18" spans="1:20" x14ac:dyDescent="0.25">
      <c r="A18" s="5" t="s">
        <v>40</v>
      </c>
      <c r="B18" s="18">
        <v>364</v>
      </c>
      <c r="C18" s="12">
        <v>31528.49</v>
      </c>
      <c r="D18" s="12">
        <v>23991.31</v>
      </c>
      <c r="E18" s="12">
        <v>147802.54</v>
      </c>
      <c r="F18" s="12">
        <v>17725.2</v>
      </c>
      <c r="G18" s="12">
        <v>6182.3</v>
      </c>
      <c r="H18" s="12">
        <v>2581.33</v>
      </c>
      <c r="I18" s="12">
        <v>0</v>
      </c>
      <c r="J18" s="12">
        <v>0</v>
      </c>
      <c r="K18" s="12">
        <v>20796.09</v>
      </c>
      <c r="L18" s="12">
        <v>0</v>
      </c>
      <c r="M18" s="12">
        <f t="shared" si="0"/>
        <v>250607.26</v>
      </c>
      <c r="N18" s="12">
        <v>25060.73</v>
      </c>
      <c r="O18" s="12">
        <v>15554.58</v>
      </c>
      <c r="P18" s="12">
        <v>4732</v>
      </c>
      <c r="Q18" s="12">
        <v>35423.339999999997</v>
      </c>
      <c r="R18" s="12">
        <v>58972.51</v>
      </c>
      <c r="S18" s="12">
        <v>34582.26</v>
      </c>
      <c r="T18" s="12">
        <f t="shared" si="1"/>
        <v>424932.68000000005</v>
      </c>
    </row>
    <row r="19" spans="1:20" x14ac:dyDescent="0.25">
      <c r="A19" s="5" t="s">
        <v>41</v>
      </c>
      <c r="B19" s="18">
        <v>35</v>
      </c>
      <c r="C19" s="12">
        <v>1629.68</v>
      </c>
      <c r="D19" s="12">
        <v>1135.48</v>
      </c>
      <c r="E19" s="12">
        <v>5035.97</v>
      </c>
      <c r="F19" s="12">
        <v>908.12</v>
      </c>
      <c r="G19" s="12">
        <v>300.57</v>
      </c>
      <c r="H19" s="12">
        <v>762.43</v>
      </c>
      <c r="I19" s="12">
        <v>0</v>
      </c>
      <c r="J19" s="12">
        <v>1202.58</v>
      </c>
      <c r="K19" s="12">
        <v>16.079999999999998</v>
      </c>
      <c r="L19" s="12">
        <v>48.02</v>
      </c>
      <c r="M19" s="12">
        <f t="shared" si="0"/>
        <v>11038.93</v>
      </c>
      <c r="N19" s="12">
        <v>1103.8800000000001</v>
      </c>
      <c r="O19" s="12">
        <v>702</v>
      </c>
      <c r="P19" s="12">
        <v>0</v>
      </c>
      <c r="Q19" s="12">
        <v>1713.2</v>
      </c>
      <c r="R19" s="12">
        <v>2638.92</v>
      </c>
      <c r="S19" s="12">
        <v>1984.46</v>
      </c>
      <c r="T19" s="12">
        <f t="shared" si="1"/>
        <v>19181.39</v>
      </c>
    </row>
    <row r="20" spans="1:20" x14ac:dyDescent="0.25">
      <c r="A20" s="5" t="s">
        <v>42</v>
      </c>
      <c r="B20" s="18">
        <v>47</v>
      </c>
      <c r="C20" s="12">
        <v>1751.5</v>
      </c>
      <c r="D20" s="12">
        <v>1464.36</v>
      </c>
      <c r="E20" s="12">
        <v>5053.51</v>
      </c>
      <c r="F20" s="12">
        <v>646.02</v>
      </c>
      <c r="G20" s="12">
        <v>502.53</v>
      </c>
      <c r="H20" s="12">
        <v>459.41</v>
      </c>
      <c r="I20" s="12">
        <v>0</v>
      </c>
      <c r="J20" s="12">
        <v>0</v>
      </c>
      <c r="K20" s="12">
        <v>0</v>
      </c>
      <c r="L20" s="12">
        <f>106.65+789.65+122.34</f>
        <v>1018.64</v>
      </c>
      <c r="M20" s="12">
        <f t="shared" si="0"/>
        <v>10895.97</v>
      </c>
      <c r="N20" s="12">
        <v>1089.5999999999999</v>
      </c>
      <c r="O20" s="12">
        <v>817.42</v>
      </c>
      <c r="P20" s="12">
        <v>329</v>
      </c>
      <c r="Q20" s="12">
        <v>1638.53</v>
      </c>
      <c r="R20" s="12">
        <v>2654.64</v>
      </c>
      <c r="S20" s="12">
        <v>1750.28</v>
      </c>
      <c r="T20" s="12">
        <f t="shared" si="1"/>
        <v>19175.439999999999</v>
      </c>
    </row>
    <row r="21" spans="1:20" x14ac:dyDescent="0.25">
      <c r="A21" s="5" t="s">
        <v>43</v>
      </c>
      <c r="B21" s="18">
        <v>86</v>
      </c>
      <c r="C21" s="12">
        <v>9827.85</v>
      </c>
      <c r="D21" s="12">
        <v>9586.43</v>
      </c>
      <c r="E21" s="12">
        <v>23643.51</v>
      </c>
      <c r="F21" s="12">
        <v>3786.27</v>
      </c>
      <c r="G21" s="12">
        <v>2255.62</v>
      </c>
      <c r="H21" s="12">
        <v>1288.92</v>
      </c>
      <c r="I21" s="12">
        <v>402.85</v>
      </c>
      <c r="J21" s="12">
        <v>0</v>
      </c>
      <c r="K21" s="12">
        <v>2096.5700000000002</v>
      </c>
      <c r="L21" s="12">
        <v>0</v>
      </c>
      <c r="M21" s="12">
        <f t="shared" si="0"/>
        <v>52888.01999999999</v>
      </c>
      <c r="N21" s="12">
        <v>5288.9</v>
      </c>
      <c r="O21" s="12">
        <v>3427.1</v>
      </c>
      <c r="P21" s="12">
        <v>44.2</v>
      </c>
      <c r="Q21" s="12">
        <v>7959.37</v>
      </c>
      <c r="R21" s="12">
        <v>12132.34</v>
      </c>
      <c r="S21" s="12">
        <v>7005.91</v>
      </c>
      <c r="T21" s="12">
        <f t="shared" si="1"/>
        <v>88745.839999999982</v>
      </c>
    </row>
    <row r="22" spans="1:20" x14ac:dyDescent="0.25">
      <c r="A22" s="5" t="s">
        <v>44</v>
      </c>
      <c r="B22" s="18">
        <v>257</v>
      </c>
      <c r="C22" s="12">
        <v>29183</v>
      </c>
      <c r="D22" s="12">
        <v>32535</v>
      </c>
      <c r="E22" s="12">
        <v>94411.94</v>
      </c>
      <c r="F22" s="12">
        <v>17701.349999999999</v>
      </c>
      <c r="G22" s="12">
        <v>5020.4399999999996</v>
      </c>
      <c r="H22" s="12">
        <v>6219.6</v>
      </c>
      <c r="I22" s="12">
        <v>669.79</v>
      </c>
      <c r="J22" s="12">
        <v>0</v>
      </c>
      <c r="K22" s="12">
        <v>13667</v>
      </c>
      <c r="L22" s="12">
        <v>0</v>
      </c>
      <c r="M22" s="12">
        <f t="shared" si="0"/>
        <v>199408.12000000002</v>
      </c>
      <c r="N22" s="12">
        <v>19941</v>
      </c>
      <c r="O22" s="12">
        <v>9932.06</v>
      </c>
      <c r="P22" s="12">
        <v>3328</v>
      </c>
      <c r="Q22" s="12">
        <v>28951.84</v>
      </c>
      <c r="R22" s="12">
        <v>46368.2</v>
      </c>
      <c r="S22" s="12">
        <v>33247.050000000003</v>
      </c>
      <c r="T22" s="12">
        <f t="shared" si="1"/>
        <v>341176.27</v>
      </c>
    </row>
    <row r="23" spans="1:20" x14ac:dyDescent="0.25">
      <c r="A23" s="5" t="s">
        <v>45</v>
      </c>
      <c r="B23" s="18">
        <v>10</v>
      </c>
      <c r="C23" s="12">
        <v>438.52</v>
      </c>
      <c r="D23" s="12">
        <v>593.09</v>
      </c>
      <c r="E23" s="12">
        <v>1749.19</v>
      </c>
      <c r="F23" s="12">
        <v>0</v>
      </c>
      <c r="G23" s="12">
        <v>113.97</v>
      </c>
      <c r="H23" s="12">
        <v>228.13</v>
      </c>
      <c r="I23" s="12">
        <v>70.930000000000007</v>
      </c>
      <c r="J23" s="12">
        <v>281.11</v>
      </c>
      <c r="K23" s="12">
        <v>3.69</v>
      </c>
      <c r="L23" s="12">
        <v>27.43</v>
      </c>
      <c r="M23" s="12">
        <f t="shared" si="0"/>
        <v>3506.06</v>
      </c>
      <c r="N23" s="12">
        <v>350.61</v>
      </c>
      <c r="O23" s="12">
        <v>220.02</v>
      </c>
      <c r="P23" s="12">
        <v>190</v>
      </c>
      <c r="Q23" s="12">
        <v>543.79</v>
      </c>
      <c r="R23" s="12">
        <v>815.34</v>
      </c>
      <c r="S23" s="12">
        <v>557.66999999999996</v>
      </c>
      <c r="T23" s="12">
        <f t="shared" si="1"/>
        <v>6183.4900000000007</v>
      </c>
    </row>
    <row r="24" spans="1:20" x14ac:dyDescent="0.25">
      <c r="A24" s="5" t="s">
        <v>46</v>
      </c>
      <c r="B24" s="18">
        <v>38</v>
      </c>
      <c r="C24" s="12">
        <v>2893.36</v>
      </c>
      <c r="D24" s="12">
        <v>680.17</v>
      </c>
      <c r="E24" s="12">
        <v>3697.85</v>
      </c>
      <c r="F24" s="12">
        <v>692.54</v>
      </c>
      <c r="G24" s="12">
        <v>355.69</v>
      </c>
      <c r="H24" s="12">
        <v>0</v>
      </c>
      <c r="I24" s="12">
        <v>0</v>
      </c>
      <c r="J24" s="12">
        <v>0</v>
      </c>
      <c r="K24" s="12">
        <f>1402.28+1.3</f>
        <v>1403.58</v>
      </c>
      <c r="L24" s="12">
        <v>269.5</v>
      </c>
      <c r="M24" s="12">
        <f t="shared" si="0"/>
        <v>9992.69</v>
      </c>
      <c r="N24" s="12">
        <v>999.27</v>
      </c>
      <c r="O24" s="12">
        <v>373.29</v>
      </c>
      <c r="P24" s="12">
        <v>342</v>
      </c>
      <c r="Q24" s="12">
        <v>1450.94</v>
      </c>
      <c r="R24" s="12">
        <v>2273.0500000000002</v>
      </c>
      <c r="S24" s="12">
        <v>1706.53</v>
      </c>
      <c r="T24" s="12">
        <f t="shared" si="1"/>
        <v>17137.77</v>
      </c>
    </row>
    <row r="25" spans="1:20" x14ac:dyDescent="0.25">
      <c r="A25" s="5" t="s">
        <v>47</v>
      </c>
      <c r="B25" s="18">
        <v>113</v>
      </c>
      <c r="C25" s="12">
        <v>8630.0300000000007</v>
      </c>
      <c r="D25" s="12">
        <v>5163.99</v>
      </c>
      <c r="E25" s="12">
        <v>32893.31</v>
      </c>
      <c r="F25" s="12">
        <v>0</v>
      </c>
      <c r="G25" s="12">
        <v>2122.14</v>
      </c>
      <c r="H25" s="12">
        <v>2829.37</v>
      </c>
      <c r="I25" s="12">
        <v>0</v>
      </c>
      <c r="J25" s="12">
        <v>5376.08</v>
      </c>
      <c r="K25" s="12">
        <v>66.11</v>
      </c>
      <c r="L25" s="12">
        <v>0</v>
      </c>
      <c r="M25" s="12">
        <f t="shared" si="0"/>
        <v>57081.030000000006</v>
      </c>
      <c r="N25" s="12">
        <v>5708.14</v>
      </c>
      <c r="O25" s="12">
        <v>3588.95</v>
      </c>
      <c r="P25" s="12">
        <v>698.42</v>
      </c>
      <c r="Q25" s="12">
        <v>8813.2199999999993</v>
      </c>
      <c r="R25" s="12">
        <v>13555</v>
      </c>
      <c r="S25" s="12">
        <v>8034.57</v>
      </c>
      <c r="T25" s="12">
        <f t="shared" si="1"/>
        <v>97479.330000000016</v>
      </c>
    </row>
    <row r="26" spans="1:20" x14ac:dyDescent="0.25">
      <c r="A26" s="5" t="s">
        <v>48</v>
      </c>
      <c r="B26" s="18">
        <v>46</v>
      </c>
      <c r="C26" s="12">
        <v>1840.98</v>
      </c>
      <c r="D26" s="12">
        <v>995.94</v>
      </c>
      <c r="E26" s="12">
        <v>6020.91</v>
      </c>
      <c r="F26" s="12">
        <v>1207.2</v>
      </c>
      <c r="G26" s="12">
        <v>648.84</v>
      </c>
      <c r="H26" s="12">
        <v>256.54000000000002</v>
      </c>
      <c r="I26" s="12">
        <v>211.26</v>
      </c>
      <c r="J26" s="12">
        <v>331.98</v>
      </c>
      <c r="K26" s="12">
        <v>12.48</v>
      </c>
      <c r="L26" s="12">
        <v>920.49</v>
      </c>
      <c r="M26" s="12">
        <f t="shared" si="0"/>
        <v>12446.62</v>
      </c>
      <c r="N26" s="12">
        <v>1244.6600000000001</v>
      </c>
      <c r="O26" s="12">
        <v>772.08</v>
      </c>
      <c r="P26" s="12">
        <v>0</v>
      </c>
      <c r="Q26" s="12">
        <v>1933.67</v>
      </c>
      <c r="R26" s="12">
        <v>2984.25</v>
      </c>
      <c r="S26" s="12">
        <v>3218.34</v>
      </c>
      <c r="T26" s="12">
        <f t="shared" si="1"/>
        <v>22599.62</v>
      </c>
    </row>
    <row r="27" spans="1:20" x14ac:dyDescent="0.25">
      <c r="A27" s="5" t="s">
        <v>49</v>
      </c>
      <c r="B27" s="18">
        <v>204</v>
      </c>
      <c r="C27" s="12">
        <v>22693.52</v>
      </c>
      <c r="D27" s="12">
        <v>33668.26</v>
      </c>
      <c r="E27" s="12">
        <v>70498.710000000006</v>
      </c>
      <c r="F27" s="12">
        <v>0</v>
      </c>
      <c r="G27" s="12">
        <v>3348.24</v>
      </c>
      <c r="H27" s="12">
        <v>4464.29</v>
      </c>
      <c r="I27" s="12">
        <v>744.07</v>
      </c>
      <c r="J27" s="12">
        <v>0</v>
      </c>
      <c r="K27" s="12">
        <f>2.46+4455</f>
        <v>4457.46</v>
      </c>
      <c r="L27" s="12">
        <v>976.51</v>
      </c>
      <c r="M27" s="12">
        <f t="shared" si="0"/>
        <v>140851.06000000003</v>
      </c>
      <c r="N27" s="12">
        <v>14085.14</v>
      </c>
      <c r="O27" s="12">
        <v>8794.2800000000007</v>
      </c>
      <c r="P27" s="12">
        <v>0</v>
      </c>
      <c r="Q27" s="12">
        <v>20949.77</v>
      </c>
      <c r="R27" s="12">
        <v>33130.050000000003</v>
      </c>
      <c r="S27" s="12">
        <v>21403.08</v>
      </c>
      <c r="T27" s="12">
        <f t="shared" si="1"/>
        <v>239213.38</v>
      </c>
    </row>
    <row r="28" spans="1:20" x14ac:dyDescent="0.25">
      <c r="A28" s="5" t="s">
        <v>50</v>
      </c>
      <c r="B28" s="18">
        <v>105</v>
      </c>
      <c r="C28" s="12">
        <v>13781.35</v>
      </c>
      <c r="D28" s="12">
        <v>9970.9</v>
      </c>
      <c r="E28" s="12">
        <v>57946.96</v>
      </c>
      <c r="F28" s="12">
        <v>7711.6</v>
      </c>
      <c r="G28" s="12">
        <v>4528.55</v>
      </c>
      <c r="H28" s="12">
        <v>2721.71</v>
      </c>
      <c r="I28" s="12">
        <v>0</v>
      </c>
      <c r="J28" s="12">
        <v>0</v>
      </c>
      <c r="K28" s="12">
        <v>0</v>
      </c>
      <c r="L28" s="12">
        <v>0</v>
      </c>
      <c r="M28" s="12">
        <f t="shared" si="0"/>
        <v>96661.07</v>
      </c>
      <c r="N28" s="12">
        <v>9666.11</v>
      </c>
      <c r="O28" s="12">
        <v>6002.12</v>
      </c>
      <c r="P28" s="12">
        <v>840</v>
      </c>
      <c r="Q28" s="12">
        <v>13715.14</v>
      </c>
      <c r="R28" s="12">
        <v>22513.11</v>
      </c>
      <c r="S28" s="12">
        <v>12807.93</v>
      </c>
      <c r="T28" s="12">
        <f t="shared" si="1"/>
        <v>162205.47999999998</v>
      </c>
    </row>
    <row r="29" spans="1:20" x14ac:dyDescent="0.25">
      <c r="A29" s="5" t="s">
        <v>51</v>
      </c>
      <c r="B29" s="18">
        <v>99</v>
      </c>
      <c r="C29" s="12">
        <v>7301.83</v>
      </c>
      <c r="D29" s="12">
        <v>4848.05</v>
      </c>
      <c r="E29" s="12">
        <v>33397.21</v>
      </c>
      <c r="F29" s="12">
        <v>4189.6099999999997</v>
      </c>
      <c r="G29" s="12">
        <v>3591.09</v>
      </c>
      <c r="H29" s="12">
        <v>2633.45</v>
      </c>
      <c r="I29" s="12">
        <v>718.16</v>
      </c>
      <c r="J29" s="12">
        <v>0</v>
      </c>
      <c r="K29" s="12">
        <v>0</v>
      </c>
      <c r="L29" s="12">
        <v>57.91</v>
      </c>
      <c r="M29" s="12">
        <f t="shared" si="0"/>
        <v>56737.31</v>
      </c>
      <c r="N29" s="12">
        <v>5673.82</v>
      </c>
      <c r="O29" s="12">
        <v>4984.8999999999996</v>
      </c>
      <c r="P29" s="12">
        <v>886.21</v>
      </c>
      <c r="Q29" s="12">
        <v>8802.02</v>
      </c>
      <c r="R29" s="12">
        <v>13479.21</v>
      </c>
      <c r="S29" s="12">
        <v>7724.32</v>
      </c>
      <c r="T29" s="12">
        <f t="shared" si="1"/>
        <v>98287.790000000008</v>
      </c>
    </row>
    <row r="30" spans="1:20" x14ac:dyDescent="0.25">
      <c r="A30" s="5" t="s">
        <v>52</v>
      </c>
      <c r="B30" s="18">
        <v>39</v>
      </c>
      <c r="C30" s="12">
        <v>3325.22</v>
      </c>
      <c r="D30" s="12">
        <v>1608.1</v>
      </c>
      <c r="E30" s="12">
        <v>10466.24</v>
      </c>
      <c r="F30" s="12">
        <v>763.15</v>
      </c>
      <c r="G30" s="12">
        <v>953.98</v>
      </c>
      <c r="H30" s="12">
        <v>1144.76</v>
      </c>
      <c r="I30" s="12">
        <v>411.57</v>
      </c>
      <c r="J30" s="12">
        <v>0</v>
      </c>
      <c r="K30" s="12">
        <v>0.86</v>
      </c>
      <c r="L30" s="12">
        <v>0</v>
      </c>
      <c r="M30" s="12">
        <f t="shared" si="0"/>
        <v>18673.879999999997</v>
      </c>
      <c r="N30" s="12">
        <v>1867.38</v>
      </c>
      <c r="O30" s="12">
        <v>1173.2</v>
      </c>
      <c r="P30" s="12">
        <v>234</v>
      </c>
      <c r="Q30" s="12">
        <v>2922.75</v>
      </c>
      <c r="R30" s="12">
        <v>4420.92</v>
      </c>
      <c r="S30" s="12">
        <v>2561.4699999999998</v>
      </c>
      <c r="T30" s="12">
        <f t="shared" si="1"/>
        <v>31853.599999999999</v>
      </c>
    </row>
    <row r="31" spans="1:20" x14ac:dyDescent="0.25">
      <c r="A31" s="5" t="s">
        <v>53</v>
      </c>
      <c r="B31" s="18">
        <v>32</v>
      </c>
      <c r="C31" s="12">
        <v>3336.32</v>
      </c>
      <c r="D31" s="12">
        <v>3281.64</v>
      </c>
      <c r="E31" s="12">
        <v>12470.22</v>
      </c>
      <c r="F31" s="12">
        <v>1367.36</v>
      </c>
      <c r="G31" s="12">
        <v>820.41</v>
      </c>
      <c r="H31" s="12">
        <v>984.49</v>
      </c>
      <c r="I31" s="12">
        <v>0</v>
      </c>
      <c r="J31" s="12">
        <v>0</v>
      </c>
      <c r="K31" s="12">
        <v>4.0199999999999996</v>
      </c>
      <c r="L31" s="12">
        <v>0</v>
      </c>
      <c r="M31" s="12">
        <f t="shared" si="0"/>
        <v>22264.460000000003</v>
      </c>
      <c r="N31" s="12">
        <v>226.47</v>
      </c>
      <c r="O31" s="12">
        <v>1397.4</v>
      </c>
      <c r="P31" s="12">
        <v>0</v>
      </c>
      <c r="Q31" s="12">
        <f>2449.1+1007.75</f>
        <v>3456.85</v>
      </c>
      <c r="R31" s="12">
        <f>5177.66+64+1387.55</f>
        <v>6629.21</v>
      </c>
      <c r="S31" s="12">
        <f>320+2588.85</f>
        <v>2908.85</v>
      </c>
      <c r="T31" s="12">
        <f t="shared" si="1"/>
        <v>36883.240000000005</v>
      </c>
    </row>
    <row r="32" spans="1:20" x14ac:dyDescent="0.25">
      <c r="A32" s="5" t="s">
        <v>166</v>
      </c>
      <c r="B32" s="18">
        <v>20</v>
      </c>
      <c r="C32" s="12">
        <v>1172.79</v>
      </c>
      <c r="D32" s="12">
        <v>442.2</v>
      </c>
      <c r="E32" s="12">
        <v>3316.49</v>
      </c>
      <c r="F32" s="12">
        <v>778.66</v>
      </c>
      <c r="G32" s="12">
        <v>336.46</v>
      </c>
      <c r="H32" s="12">
        <v>576.78</v>
      </c>
      <c r="I32" s="12">
        <v>249.94</v>
      </c>
      <c r="J32" s="12">
        <v>519.1</v>
      </c>
      <c r="K32" s="12">
        <v>18.14</v>
      </c>
      <c r="L32" s="12">
        <v>0</v>
      </c>
      <c r="M32" s="12">
        <f t="shared" si="0"/>
        <v>7410.5599999999995</v>
      </c>
      <c r="N32" s="12">
        <v>741.09</v>
      </c>
      <c r="O32" s="12">
        <v>465.15</v>
      </c>
      <c r="P32" s="12">
        <v>140</v>
      </c>
      <c r="Q32" s="12">
        <v>1151.05</v>
      </c>
      <c r="R32" s="12">
        <v>1763.36</v>
      </c>
      <c r="S32" s="12">
        <v>1061.7</v>
      </c>
      <c r="T32" s="12">
        <f t="shared" si="1"/>
        <v>12732.91</v>
      </c>
    </row>
    <row r="33" spans="1:20" x14ac:dyDescent="0.25">
      <c r="A33" s="28" t="s">
        <v>169</v>
      </c>
      <c r="B33" s="18">
        <v>138</v>
      </c>
      <c r="C33" s="12">
        <v>12745.42</v>
      </c>
      <c r="D33" s="12">
        <v>14207.99</v>
      </c>
      <c r="E33" s="12">
        <v>37069.379999999997</v>
      </c>
      <c r="F33" s="12">
        <v>6581.79</v>
      </c>
      <c r="G33" s="12">
        <v>3656.75</v>
      </c>
      <c r="H33" s="12">
        <v>0</v>
      </c>
      <c r="I33" s="12">
        <v>0</v>
      </c>
      <c r="J33" s="12">
        <v>0</v>
      </c>
      <c r="K33" s="12">
        <v>1677.64</v>
      </c>
      <c r="L33" s="12">
        <v>49.75</v>
      </c>
      <c r="M33" s="12">
        <f t="shared" si="0"/>
        <v>75988.719999999987</v>
      </c>
      <c r="N33" s="12">
        <v>0</v>
      </c>
      <c r="O33" s="12">
        <v>0</v>
      </c>
      <c r="P33" s="12">
        <v>0</v>
      </c>
      <c r="Q33" s="12">
        <v>9356.92</v>
      </c>
      <c r="R33" s="12">
        <v>15385.79</v>
      </c>
      <c r="S33" s="12">
        <v>11803.06</v>
      </c>
      <c r="T33" s="12">
        <f t="shared" si="1"/>
        <v>112534.48999999999</v>
      </c>
    </row>
    <row r="34" spans="1:20" x14ac:dyDescent="0.25">
      <c r="A34" s="5" t="s">
        <v>55</v>
      </c>
      <c r="B34" s="18">
        <v>34</v>
      </c>
      <c r="C34" s="12">
        <v>2713.25</v>
      </c>
      <c r="D34" s="12">
        <v>2957.89</v>
      </c>
      <c r="E34" s="12">
        <v>8495.59</v>
      </c>
      <c r="F34" s="12">
        <v>1378.87</v>
      </c>
      <c r="G34" s="12">
        <v>0</v>
      </c>
      <c r="H34" s="12">
        <v>0</v>
      </c>
      <c r="I34" s="12">
        <v>0</v>
      </c>
      <c r="J34" s="12">
        <v>1556.78</v>
      </c>
      <c r="K34" s="12">
        <v>800</v>
      </c>
      <c r="L34" s="12">
        <v>44.1</v>
      </c>
      <c r="M34" s="12">
        <f t="shared" si="0"/>
        <v>17946.479999999996</v>
      </c>
      <c r="N34" s="12">
        <v>1794.67</v>
      </c>
      <c r="O34" s="12">
        <v>1125.26</v>
      </c>
      <c r="P34" s="12">
        <v>0</v>
      </c>
      <c r="Q34" s="12">
        <v>2763.83</v>
      </c>
      <c r="R34" s="12">
        <v>4207.3100000000004</v>
      </c>
      <c r="S34" s="12">
        <v>2426.89</v>
      </c>
      <c r="T34" s="12">
        <f t="shared" si="1"/>
        <v>30264.439999999991</v>
      </c>
    </row>
    <row r="35" spans="1:20" x14ac:dyDescent="0.25">
      <c r="A35" s="5" t="s">
        <v>56</v>
      </c>
      <c r="B35" s="18">
        <v>27</v>
      </c>
      <c r="C35" s="12">
        <v>1125.8399999999999</v>
      </c>
      <c r="D35" s="12">
        <v>1072.25</v>
      </c>
      <c r="E35" s="12">
        <v>3749.58</v>
      </c>
      <c r="F35" s="12">
        <v>0</v>
      </c>
      <c r="G35" s="12">
        <v>276.25</v>
      </c>
      <c r="H35" s="12">
        <v>613.77</v>
      </c>
      <c r="I35" s="12">
        <v>483.55</v>
      </c>
      <c r="J35" s="12">
        <v>900.96</v>
      </c>
      <c r="K35" s="12">
        <v>6.98</v>
      </c>
      <c r="L35" s="12">
        <v>0</v>
      </c>
      <c r="M35" s="12">
        <f t="shared" si="0"/>
        <v>8229.18</v>
      </c>
      <c r="N35" s="12">
        <v>822.92</v>
      </c>
      <c r="O35" s="12">
        <v>619.75</v>
      </c>
      <c r="P35" s="12">
        <v>135</v>
      </c>
      <c r="Q35" s="12">
        <v>1277.1400000000001</v>
      </c>
      <c r="R35" s="12">
        <v>1946.52</v>
      </c>
      <c r="S35" s="12">
        <v>1372.19</v>
      </c>
      <c r="T35" s="12">
        <f t="shared" si="1"/>
        <v>14402.7</v>
      </c>
    </row>
    <row r="36" spans="1:20" x14ac:dyDescent="0.25">
      <c r="A36" s="5" t="s">
        <v>57</v>
      </c>
      <c r="B36" s="18">
        <v>63</v>
      </c>
      <c r="C36" s="12">
        <v>5224.1000000000004</v>
      </c>
      <c r="D36" s="12">
        <v>3355.9</v>
      </c>
      <c r="E36" s="12">
        <v>18888.509999999998</v>
      </c>
      <c r="F36" s="12">
        <v>5063.18</v>
      </c>
      <c r="G36" s="12">
        <v>3395.72</v>
      </c>
      <c r="H36" s="12">
        <v>2515.84</v>
      </c>
      <c r="I36" s="12">
        <v>637.05999999999995</v>
      </c>
      <c r="J36" s="12">
        <v>4247.1400000000003</v>
      </c>
      <c r="K36" s="12">
        <v>31.49</v>
      </c>
      <c r="L36" s="12">
        <v>12.5</v>
      </c>
      <c r="M36" s="12">
        <f t="shared" si="0"/>
        <v>43371.439999999995</v>
      </c>
      <c r="N36" s="12">
        <v>4337.16</v>
      </c>
      <c r="O36" s="12">
        <v>2719.71</v>
      </c>
      <c r="P36" s="12">
        <v>315</v>
      </c>
      <c r="Q36" s="12">
        <v>6685.64</v>
      </c>
      <c r="R36" s="12">
        <v>10211.66</v>
      </c>
      <c r="S36" s="12">
        <v>5672.83</v>
      </c>
      <c r="T36" s="12">
        <f t="shared" si="1"/>
        <v>73313.439999999988</v>
      </c>
    </row>
    <row r="37" spans="1:20" x14ac:dyDescent="0.25">
      <c r="A37" s="5" t="s">
        <v>58</v>
      </c>
      <c r="B37" s="18">
        <v>652</v>
      </c>
      <c r="C37" s="12">
        <v>97550.13</v>
      </c>
      <c r="D37" s="12">
        <v>63967.29</v>
      </c>
      <c r="E37" s="12">
        <v>521309.23</v>
      </c>
      <c r="F37" s="12">
        <v>0</v>
      </c>
      <c r="G37" s="12">
        <v>22388.55</v>
      </c>
      <c r="H37" s="12">
        <v>2558.81</v>
      </c>
      <c r="I37" s="12">
        <v>319.70999999999998</v>
      </c>
      <c r="J37" s="12">
        <v>0</v>
      </c>
      <c r="K37" s="12">
        <v>0</v>
      </c>
      <c r="L37" s="12">
        <f>116280.34+47975.48</f>
        <v>164255.82</v>
      </c>
      <c r="M37" s="12">
        <f t="shared" si="0"/>
        <v>872349.54</v>
      </c>
      <c r="N37" s="12">
        <v>87235.43</v>
      </c>
      <c r="O37" s="12">
        <v>43803.28</v>
      </c>
      <c r="P37" s="12">
        <v>22820</v>
      </c>
      <c r="Q37" s="12">
        <v>112676.55</v>
      </c>
      <c r="R37" s="12">
        <v>201981.47</v>
      </c>
      <c r="S37" s="12">
        <v>110118.84</v>
      </c>
      <c r="T37" s="12">
        <f t="shared" si="1"/>
        <v>1450985.11</v>
      </c>
    </row>
    <row r="38" spans="1:20" x14ac:dyDescent="0.25">
      <c r="A38" s="5" t="s">
        <v>59</v>
      </c>
      <c r="B38" s="18">
        <v>61</v>
      </c>
      <c r="C38" s="12">
        <v>2965.46</v>
      </c>
      <c r="D38" s="12">
        <v>3734.64</v>
      </c>
      <c r="E38" s="12">
        <v>9596.17</v>
      </c>
      <c r="F38" s="12">
        <v>1647.65</v>
      </c>
      <c r="G38" s="12">
        <v>1050.3599999999999</v>
      </c>
      <c r="H38" s="12">
        <v>893.65</v>
      </c>
      <c r="I38" s="12">
        <v>160.91999999999999</v>
      </c>
      <c r="J38" s="12">
        <v>1050.3599999999999</v>
      </c>
      <c r="K38" s="12">
        <v>18.59</v>
      </c>
      <c r="L38" s="12">
        <v>59.3</v>
      </c>
      <c r="M38" s="12">
        <f t="shared" si="0"/>
        <v>21177.100000000002</v>
      </c>
      <c r="N38" s="12">
        <v>2117.71</v>
      </c>
      <c r="O38" s="12">
        <v>1325.47</v>
      </c>
      <c r="P38" s="12">
        <v>488</v>
      </c>
      <c r="Q38" s="12">
        <v>3214.68</v>
      </c>
      <c r="R38" s="12">
        <v>5063.75</v>
      </c>
      <c r="S38" s="12">
        <v>3377.03</v>
      </c>
      <c r="T38" s="12">
        <f t="shared" si="1"/>
        <v>36763.740000000005</v>
      </c>
    </row>
    <row r="39" spans="1:20" x14ac:dyDescent="0.25">
      <c r="A39" s="5" t="s">
        <v>167</v>
      </c>
      <c r="B39" s="18">
        <v>338</v>
      </c>
      <c r="C39" s="12">
        <v>23269.78</v>
      </c>
      <c r="D39" s="12">
        <v>20980.97</v>
      </c>
      <c r="E39" s="12">
        <v>99182.67</v>
      </c>
      <c r="F39" s="12">
        <v>11823.29</v>
      </c>
      <c r="G39" s="12">
        <v>11400.95</v>
      </c>
      <c r="H39" s="12">
        <v>4432.58</v>
      </c>
      <c r="I39" s="12">
        <v>1716.72</v>
      </c>
      <c r="J39" s="12">
        <v>0</v>
      </c>
      <c r="K39" s="12">
        <v>13745.62</v>
      </c>
      <c r="L39" s="12">
        <v>0</v>
      </c>
      <c r="M39" s="12">
        <f t="shared" si="0"/>
        <v>186552.58</v>
      </c>
      <c r="N39" s="12">
        <v>18655.400000000001</v>
      </c>
      <c r="O39" s="12">
        <v>11525.53</v>
      </c>
      <c r="P39" s="12">
        <v>3380</v>
      </c>
      <c r="Q39" s="12">
        <v>26297.61</v>
      </c>
      <c r="R39" s="12">
        <v>43925.84</v>
      </c>
      <c r="S39" s="12">
        <v>36207.32</v>
      </c>
      <c r="T39" s="12">
        <f>SUM(M39:S39)</f>
        <v>326544.27999999997</v>
      </c>
    </row>
    <row r="40" spans="1:20" x14ac:dyDescent="0.25">
      <c r="A40" s="5" t="s">
        <v>60</v>
      </c>
      <c r="B40" s="18">
        <v>192</v>
      </c>
      <c r="C40" s="12">
        <v>25608.3</v>
      </c>
      <c r="D40" s="12">
        <v>32876.879999999997</v>
      </c>
      <c r="E40" s="12">
        <v>111451.49</v>
      </c>
      <c r="F40" s="12">
        <v>18219.63</v>
      </c>
      <c r="G40" s="12">
        <v>8351.3799999999992</v>
      </c>
      <c r="H40" s="12">
        <v>2723.38</v>
      </c>
      <c r="I40" s="12">
        <v>1671.68</v>
      </c>
      <c r="J40" s="12">
        <v>0</v>
      </c>
      <c r="K40" s="12">
        <v>0</v>
      </c>
      <c r="L40" s="12">
        <v>0</v>
      </c>
      <c r="M40" s="12">
        <f t="shared" si="0"/>
        <v>200902.74</v>
      </c>
      <c r="N40" s="12">
        <v>20090.28</v>
      </c>
      <c r="O40" s="12">
        <v>9960.24</v>
      </c>
      <c r="P40" s="12">
        <v>960</v>
      </c>
      <c r="Q40" s="12">
        <v>28013.08</v>
      </c>
      <c r="R40" s="12">
        <v>46574.65</v>
      </c>
      <c r="S40" s="12">
        <v>25975.33</v>
      </c>
      <c r="T40" s="12">
        <f t="shared" si="1"/>
        <v>332476.32</v>
      </c>
    </row>
    <row r="41" spans="1:20" x14ac:dyDescent="0.25">
      <c r="A41" s="5" t="s">
        <v>61</v>
      </c>
      <c r="B41" s="18">
        <v>15</v>
      </c>
      <c r="C41" s="12">
        <v>901.79</v>
      </c>
      <c r="D41" s="12">
        <v>975.69</v>
      </c>
      <c r="E41" s="12">
        <v>4965.07</v>
      </c>
      <c r="F41" s="12">
        <v>546.99</v>
      </c>
      <c r="G41" s="12">
        <v>295.66000000000003</v>
      </c>
      <c r="H41" s="12">
        <v>391.76</v>
      </c>
      <c r="I41" s="12">
        <v>184.8</v>
      </c>
      <c r="J41" s="12">
        <v>0</v>
      </c>
      <c r="K41" s="12">
        <v>0</v>
      </c>
      <c r="L41" s="12">
        <v>133.06</v>
      </c>
      <c r="M41" s="12">
        <f t="shared" si="0"/>
        <v>8394.8199999999979</v>
      </c>
      <c r="N41" s="12">
        <v>839.48</v>
      </c>
      <c r="O41" s="12">
        <v>525.39</v>
      </c>
      <c r="P41" s="12">
        <v>0</v>
      </c>
      <c r="Q41" s="12">
        <v>1273.8800000000001</v>
      </c>
      <c r="R41" s="12">
        <v>1981.94</v>
      </c>
      <c r="S41" s="12">
        <v>1125.97</v>
      </c>
      <c r="T41" s="12">
        <f t="shared" si="1"/>
        <v>14141.479999999996</v>
      </c>
    </row>
    <row r="42" spans="1:20" x14ac:dyDescent="0.25">
      <c r="A42" s="5" t="s">
        <v>62</v>
      </c>
      <c r="B42" s="18">
        <v>41</v>
      </c>
      <c r="C42" s="12">
        <v>3619.92</v>
      </c>
      <c r="D42" s="12">
        <v>2594.61</v>
      </c>
      <c r="E42" s="12">
        <v>19024.02</v>
      </c>
      <c r="F42" s="12">
        <v>3273.03</v>
      </c>
      <c r="G42" s="12">
        <v>1575.58</v>
      </c>
      <c r="H42" s="12">
        <v>1601.15</v>
      </c>
      <c r="I42" s="12">
        <v>250.89</v>
      </c>
      <c r="J42" s="12">
        <v>0</v>
      </c>
      <c r="K42" s="12">
        <f>202.21+1.44</f>
        <v>203.65</v>
      </c>
      <c r="L42" s="12">
        <v>973.5</v>
      </c>
      <c r="M42" s="12">
        <f t="shared" si="0"/>
        <v>33116.350000000006</v>
      </c>
      <c r="N42" s="12">
        <v>3311.64</v>
      </c>
      <c r="O42" s="12">
        <v>1662.57</v>
      </c>
      <c r="P42" s="12">
        <v>328</v>
      </c>
      <c r="Q42" s="12">
        <v>5136.3500000000004</v>
      </c>
      <c r="R42" s="12">
        <v>7700.11</v>
      </c>
      <c r="S42" s="12">
        <v>4424.0600000000004</v>
      </c>
      <c r="T42" s="12">
        <f t="shared" si="1"/>
        <v>55679.08</v>
      </c>
    </row>
    <row r="43" spans="1:20" x14ac:dyDescent="0.25">
      <c r="A43" s="5" t="s">
        <v>63</v>
      </c>
      <c r="B43" s="18">
        <v>53</v>
      </c>
      <c r="C43" s="12">
        <v>5462.42</v>
      </c>
      <c r="D43" s="12">
        <v>3581.91</v>
      </c>
      <c r="E43" s="12">
        <v>28655.31</v>
      </c>
      <c r="F43" s="12">
        <v>2999.87</v>
      </c>
      <c r="G43" s="12">
        <v>1790.96</v>
      </c>
      <c r="H43" s="12">
        <v>1656.67</v>
      </c>
      <c r="I43" s="12">
        <v>371.68</v>
      </c>
      <c r="J43" s="12">
        <v>0</v>
      </c>
      <c r="K43" s="12">
        <v>2400.36</v>
      </c>
      <c r="L43" s="12">
        <v>1503.06</v>
      </c>
      <c r="M43" s="12">
        <f t="shared" si="0"/>
        <v>48422.239999999998</v>
      </c>
      <c r="N43" s="12">
        <v>4842.22</v>
      </c>
      <c r="O43" s="12">
        <v>2423.11</v>
      </c>
      <c r="P43" s="12">
        <v>318</v>
      </c>
      <c r="Q43" s="12">
        <v>7313.21</v>
      </c>
      <c r="R43" s="12">
        <v>11243.51</v>
      </c>
      <c r="S43" s="12">
        <v>6363.76</v>
      </c>
      <c r="T43" s="12">
        <f t="shared" si="1"/>
        <v>80926.049999999988</v>
      </c>
    </row>
    <row r="44" spans="1:20" x14ac:dyDescent="0.25">
      <c r="A44" s="5" t="s">
        <v>64</v>
      </c>
      <c r="B44" s="18">
        <v>75</v>
      </c>
      <c r="C44" s="12">
        <v>5781.58</v>
      </c>
      <c r="D44" s="12">
        <v>6427.98</v>
      </c>
      <c r="E44" s="12">
        <v>25029.93</v>
      </c>
      <c r="F44" s="12">
        <v>3356.63</v>
      </c>
      <c r="G44" s="12">
        <v>1249.55</v>
      </c>
      <c r="H44" s="12">
        <v>1588.49</v>
      </c>
      <c r="I44" s="12">
        <v>436</v>
      </c>
      <c r="J44" s="12">
        <v>0</v>
      </c>
      <c r="K44" s="12">
        <v>5.79</v>
      </c>
      <c r="L44" s="12">
        <v>626.78</v>
      </c>
      <c r="M44" s="12">
        <f t="shared" si="0"/>
        <v>44502.729999999996</v>
      </c>
      <c r="N44" s="12">
        <v>4450.2700000000004</v>
      </c>
      <c r="O44" s="12">
        <v>2772.88</v>
      </c>
      <c r="P44" s="12">
        <v>525</v>
      </c>
      <c r="Q44" s="12">
        <v>6504.63</v>
      </c>
      <c r="R44" s="12">
        <v>10495.18</v>
      </c>
      <c r="S44" s="12">
        <v>6297.59</v>
      </c>
      <c r="T44" s="12">
        <f t="shared" si="1"/>
        <v>75548.28</v>
      </c>
    </row>
    <row r="45" spans="1:20" x14ac:dyDescent="0.25">
      <c r="A45" s="5" t="s">
        <v>65</v>
      </c>
      <c r="B45" s="18">
        <v>113</v>
      </c>
      <c r="C45" s="12">
        <v>8147.61</v>
      </c>
      <c r="D45" s="12">
        <v>6189.74</v>
      </c>
      <c r="E45" s="12">
        <v>20384.61</v>
      </c>
      <c r="F45" s="12">
        <v>3637.84</v>
      </c>
      <c r="G45" s="12">
        <v>2332.65</v>
      </c>
      <c r="H45" s="12">
        <v>0</v>
      </c>
      <c r="I45" s="12">
        <v>0</v>
      </c>
      <c r="J45" s="12">
        <v>0</v>
      </c>
      <c r="K45" s="12">
        <v>3342.87</v>
      </c>
      <c r="L45" s="12">
        <f>1399.62+129.75</f>
        <v>1529.37</v>
      </c>
      <c r="M45" s="12">
        <f t="shared" si="0"/>
        <v>45564.69000000001</v>
      </c>
      <c r="N45" s="12">
        <v>4556.47</v>
      </c>
      <c r="O45" s="12">
        <v>2840.62</v>
      </c>
      <c r="P45" s="12">
        <v>678</v>
      </c>
      <c r="Q45" s="12">
        <v>6691.17</v>
      </c>
      <c r="R45" s="12">
        <v>10818.36</v>
      </c>
      <c r="S45" s="12">
        <v>6991.18</v>
      </c>
      <c r="T45" s="12">
        <f t="shared" si="1"/>
        <v>78140.49000000002</v>
      </c>
    </row>
    <row r="46" spans="1:20" x14ac:dyDescent="0.25">
      <c r="A46" s="5" t="s">
        <v>66</v>
      </c>
      <c r="B46" s="18">
        <v>88</v>
      </c>
      <c r="C46" s="12">
        <v>5842.82</v>
      </c>
      <c r="D46" s="12">
        <v>2825.32</v>
      </c>
      <c r="E46" s="12">
        <v>18645.43</v>
      </c>
      <c r="F46" s="12">
        <v>2673.77</v>
      </c>
      <c r="G46" s="12">
        <v>1127.8499999999999</v>
      </c>
      <c r="H46" s="12">
        <v>1228.73</v>
      </c>
      <c r="I46" s="12">
        <v>0</v>
      </c>
      <c r="J46" s="12">
        <v>0</v>
      </c>
      <c r="K46" s="12">
        <v>14.46</v>
      </c>
      <c r="L46" s="12">
        <f>1782.86+335.94</f>
        <v>2118.7999999999997</v>
      </c>
      <c r="M46" s="12">
        <f t="shared" si="0"/>
        <v>34477.18</v>
      </c>
      <c r="N46" s="12">
        <v>3447.72</v>
      </c>
      <c r="O46" s="12">
        <v>1731.01</v>
      </c>
      <c r="P46" s="12">
        <v>264</v>
      </c>
      <c r="Q46" s="12">
        <v>5350.44</v>
      </c>
      <c r="R46" s="12">
        <v>8107.18</v>
      </c>
      <c r="S46" s="12">
        <v>5285.59</v>
      </c>
      <c r="T46" s="12">
        <f t="shared" si="1"/>
        <v>58663.12000000001</v>
      </c>
    </row>
    <row r="47" spans="1:20" x14ac:dyDescent="0.25">
      <c r="A47" s="5" t="s">
        <v>67</v>
      </c>
      <c r="B47" s="18">
        <v>30</v>
      </c>
      <c r="C47" s="12">
        <v>1469.06</v>
      </c>
      <c r="D47" s="12">
        <v>1264.3699999999999</v>
      </c>
      <c r="E47" s="12">
        <v>5502.96</v>
      </c>
      <c r="F47" s="12">
        <v>879.03</v>
      </c>
      <c r="G47" s="12">
        <v>421.46</v>
      </c>
      <c r="H47" s="12">
        <v>499.77</v>
      </c>
      <c r="I47" s="12">
        <v>0</v>
      </c>
      <c r="J47" s="12">
        <v>1204.1500000000001</v>
      </c>
      <c r="K47" s="12">
        <v>0</v>
      </c>
      <c r="L47" s="12">
        <v>0</v>
      </c>
      <c r="M47" s="12">
        <f t="shared" si="0"/>
        <v>11240.8</v>
      </c>
      <c r="N47" s="12">
        <v>1124.26</v>
      </c>
      <c r="O47" s="12">
        <v>705.54</v>
      </c>
      <c r="P47" s="12">
        <v>450</v>
      </c>
      <c r="Q47" s="12">
        <v>1743.84</v>
      </c>
      <c r="R47" s="12">
        <v>2614.4499999999998</v>
      </c>
      <c r="S47" s="12">
        <v>1607.21</v>
      </c>
      <c r="T47" s="12">
        <f t="shared" si="1"/>
        <v>19486.099999999999</v>
      </c>
    </row>
    <row r="48" spans="1:20" x14ac:dyDescent="0.25">
      <c r="A48" s="5" t="s">
        <v>68</v>
      </c>
      <c r="B48" s="18">
        <v>194</v>
      </c>
      <c r="C48" s="12">
        <v>14829.28</v>
      </c>
      <c r="D48" s="12">
        <v>25658.58</v>
      </c>
      <c r="E48" s="12">
        <v>87773.75</v>
      </c>
      <c r="F48" s="12">
        <v>13266.59</v>
      </c>
      <c r="G48" s="12">
        <v>4815.84</v>
      </c>
      <c r="H48" s="12">
        <v>2248.89</v>
      </c>
      <c r="I48" s="12">
        <v>0</v>
      </c>
      <c r="J48" s="12">
        <v>6451.89</v>
      </c>
      <c r="K48" s="12">
        <v>5874.54</v>
      </c>
      <c r="L48" s="12">
        <v>3451.75</v>
      </c>
      <c r="M48" s="12">
        <f t="shared" si="0"/>
        <v>164371.11000000004</v>
      </c>
      <c r="N48" s="12">
        <v>16437.099999999999</v>
      </c>
      <c r="O48" s="12">
        <v>10229.219999999999</v>
      </c>
      <c r="P48" s="12">
        <v>1746</v>
      </c>
      <c r="Q48" s="12">
        <v>23776.28</v>
      </c>
      <c r="R48" s="12">
        <v>38207.49</v>
      </c>
      <c r="S48" s="12">
        <v>22013.74</v>
      </c>
      <c r="T48" s="12">
        <f t="shared" si="1"/>
        <v>276780.94000000006</v>
      </c>
    </row>
    <row r="49" spans="1:20" x14ac:dyDescent="0.25">
      <c r="A49" s="5" t="s">
        <v>69</v>
      </c>
      <c r="B49" s="18">
        <v>27</v>
      </c>
      <c r="C49" s="12">
        <v>1770.46</v>
      </c>
      <c r="D49" s="12">
        <v>812.68</v>
      </c>
      <c r="E49" s="12">
        <v>8068.69</v>
      </c>
      <c r="F49" s="12">
        <v>1668.93</v>
      </c>
      <c r="G49" s="12">
        <v>399.11</v>
      </c>
      <c r="H49" s="12">
        <v>0</v>
      </c>
      <c r="I49" s="12">
        <v>0</v>
      </c>
      <c r="J49" s="12">
        <v>0</v>
      </c>
      <c r="K49" s="12">
        <v>8.0500000000000007</v>
      </c>
      <c r="L49" s="12">
        <v>0</v>
      </c>
      <c r="M49" s="12">
        <f t="shared" si="0"/>
        <v>12727.92</v>
      </c>
      <c r="N49" s="12">
        <v>1272.8</v>
      </c>
      <c r="O49" s="12">
        <v>945.13</v>
      </c>
      <c r="P49" s="12">
        <v>432</v>
      </c>
      <c r="Q49" s="12">
        <v>1751.49</v>
      </c>
      <c r="R49" s="12">
        <v>2989.17</v>
      </c>
      <c r="S49" s="12">
        <v>1899.59</v>
      </c>
      <c r="T49" s="12">
        <f t="shared" si="1"/>
        <v>22018.100000000002</v>
      </c>
    </row>
    <row r="50" spans="1:20" x14ac:dyDescent="0.25">
      <c r="A50" s="5" t="s">
        <v>70</v>
      </c>
      <c r="B50" s="18">
        <v>389</v>
      </c>
      <c r="C50" s="12">
        <v>30961.25</v>
      </c>
      <c r="D50" s="12">
        <v>27662.28</v>
      </c>
      <c r="E50" s="12">
        <v>154479.91</v>
      </c>
      <c r="F50" s="12">
        <v>0</v>
      </c>
      <c r="G50" s="12">
        <v>5075.62</v>
      </c>
      <c r="H50" s="12">
        <v>2614.21</v>
      </c>
      <c r="I50" s="12">
        <v>381.03</v>
      </c>
      <c r="J50" s="12">
        <v>0</v>
      </c>
      <c r="K50" s="12">
        <v>4237.75</v>
      </c>
      <c r="L50" s="12">
        <v>4914.3900000000003</v>
      </c>
      <c r="M50" s="12">
        <f t="shared" si="0"/>
        <v>230326.44</v>
      </c>
      <c r="N50" s="12">
        <v>22609.34</v>
      </c>
      <c r="O50" s="12">
        <v>11349.79</v>
      </c>
      <c r="P50" s="12">
        <v>5057</v>
      </c>
      <c r="Q50" s="12">
        <v>35044.17</v>
      </c>
      <c r="R50" s="12">
        <v>53635.09</v>
      </c>
      <c r="S50" s="12">
        <v>32263.79</v>
      </c>
      <c r="T50" s="12">
        <f t="shared" si="1"/>
        <v>390285.61999999994</v>
      </c>
    </row>
    <row r="51" spans="1:20" x14ac:dyDescent="0.25">
      <c r="A51" s="5" t="s">
        <v>71</v>
      </c>
      <c r="B51" s="18">
        <v>102</v>
      </c>
      <c r="C51" s="12">
        <v>7524.84</v>
      </c>
      <c r="D51" s="12">
        <v>19490.98</v>
      </c>
      <c r="E51" s="12">
        <v>21885.02</v>
      </c>
      <c r="F51" s="12">
        <v>4058.38</v>
      </c>
      <c r="G51" s="12">
        <v>2463.2399999999998</v>
      </c>
      <c r="H51" s="12">
        <v>4246.9399999999996</v>
      </c>
      <c r="I51" s="12">
        <v>615.41</v>
      </c>
      <c r="J51" s="12">
        <v>0</v>
      </c>
      <c r="K51" s="12">
        <v>8.19</v>
      </c>
      <c r="L51" s="12">
        <v>2700.4</v>
      </c>
      <c r="M51" s="12">
        <f t="shared" si="0"/>
        <v>62993.4</v>
      </c>
      <c r="N51" s="12">
        <v>6299.34</v>
      </c>
      <c r="O51" s="12">
        <v>3166.66</v>
      </c>
      <c r="P51" s="12">
        <v>0</v>
      </c>
      <c r="Q51" s="12">
        <v>9873.7999999999993</v>
      </c>
      <c r="R51" s="12">
        <v>14695.88</v>
      </c>
      <c r="S51" s="12">
        <v>11121.94</v>
      </c>
      <c r="T51" s="12">
        <f t="shared" si="1"/>
        <v>108151.02000000002</v>
      </c>
    </row>
    <row r="52" spans="1:20" x14ac:dyDescent="0.25">
      <c r="A52" s="5" t="s">
        <v>72</v>
      </c>
      <c r="B52" s="18">
        <v>56</v>
      </c>
      <c r="C52" s="12">
        <v>5486.57</v>
      </c>
      <c r="D52" s="12">
        <v>4452.2700000000004</v>
      </c>
      <c r="E52" s="12">
        <v>18528.52</v>
      </c>
      <c r="F52" s="12">
        <v>3133.08</v>
      </c>
      <c r="G52" s="12">
        <v>2698.34</v>
      </c>
      <c r="H52" s="12">
        <v>2038.78</v>
      </c>
      <c r="I52" s="12">
        <v>404.77</v>
      </c>
      <c r="J52" s="12">
        <v>0</v>
      </c>
      <c r="K52" s="12">
        <v>1589.39</v>
      </c>
      <c r="L52" s="12">
        <v>0</v>
      </c>
      <c r="M52" s="12">
        <f t="shared" si="0"/>
        <v>38331.719999999994</v>
      </c>
      <c r="N52" s="12">
        <v>3833.18</v>
      </c>
      <c r="O52" s="12">
        <v>2387.96</v>
      </c>
      <c r="P52" s="12">
        <v>784</v>
      </c>
      <c r="Q52" s="12">
        <v>5594.05</v>
      </c>
      <c r="R52" s="12">
        <v>9022.58</v>
      </c>
      <c r="S52" s="12">
        <v>4735.3500000000004</v>
      </c>
      <c r="T52" s="12">
        <f t="shared" si="1"/>
        <v>64688.84</v>
      </c>
    </row>
    <row r="53" spans="1:20" x14ac:dyDescent="0.25">
      <c r="A53" s="5" t="s">
        <v>73</v>
      </c>
      <c r="B53" s="18">
        <v>63</v>
      </c>
      <c r="C53" s="12">
        <v>3620.79</v>
      </c>
      <c r="D53" s="12">
        <v>3056.6</v>
      </c>
      <c r="E53" s="12">
        <v>15261.29</v>
      </c>
      <c r="F53" s="12">
        <v>1755.69</v>
      </c>
      <c r="G53" s="12">
        <v>0</v>
      </c>
      <c r="H53" s="12">
        <v>0</v>
      </c>
      <c r="I53" s="12">
        <v>0</v>
      </c>
      <c r="J53" s="12">
        <v>2191.15</v>
      </c>
      <c r="K53" s="12">
        <v>3.99</v>
      </c>
      <c r="L53" s="12">
        <v>0</v>
      </c>
      <c r="M53" s="12">
        <f t="shared" si="0"/>
        <v>25889.510000000002</v>
      </c>
      <c r="N53" s="12">
        <v>2588.96</v>
      </c>
      <c r="O53" s="12">
        <v>1942.29</v>
      </c>
      <c r="P53" s="12">
        <v>651.41999999999996</v>
      </c>
      <c r="Q53" s="12">
        <v>3893.01</v>
      </c>
      <c r="R53" s="12">
        <v>6147.15</v>
      </c>
      <c r="S53" s="12">
        <v>3987.08</v>
      </c>
      <c r="T53" s="12">
        <f t="shared" si="1"/>
        <v>45099.420000000006</v>
      </c>
    </row>
    <row r="54" spans="1:20" x14ac:dyDescent="0.25">
      <c r="A54" s="5" t="s">
        <v>74</v>
      </c>
      <c r="B54" s="18">
        <v>131</v>
      </c>
      <c r="C54" s="12">
        <v>9268.83</v>
      </c>
      <c r="D54" s="12">
        <v>8968.3799999999992</v>
      </c>
      <c r="E54" s="12">
        <v>39278.61</v>
      </c>
      <c r="F54" s="12">
        <v>5622.07</v>
      </c>
      <c r="G54" s="12">
        <v>1975.33</v>
      </c>
      <c r="H54" s="12">
        <v>2051.35</v>
      </c>
      <c r="I54" s="12">
        <v>0</v>
      </c>
      <c r="J54" s="12">
        <v>0</v>
      </c>
      <c r="K54" s="12">
        <v>0</v>
      </c>
      <c r="L54" s="12">
        <v>76.599999999999994</v>
      </c>
      <c r="M54" s="12">
        <f t="shared" si="0"/>
        <v>67241.170000000013</v>
      </c>
      <c r="N54" s="12">
        <v>6724.1</v>
      </c>
      <c r="O54" s="12">
        <v>5847.33</v>
      </c>
      <c r="P54" s="12">
        <v>917</v>
      </c>
      <c r="Q54" s="12">
        <v>9560.2199999999993</v>
      </c>
      <c r="R54" s="12">
        <v>16224.58</v>
      </c>
      <c r="S54" s="12">
        <v>9946.2199999999993</v>
      </c>
      <c r="T54" s="12">
        <f t="shared" si="1"/>
        <v>116460.62000000002</v>
      </c>
    </row>
    <row r="55" spans="1:20" x14ac:dyDescent="0.25">
      <c r="A55" s="5" t="s">
        <v>75</v>
      </c>
      <c r="B55" s="18">
        <v>96</v>
      </c>
      <c r="C55" s="12">
        <v>9759.26</v>
      </c>
      <c r="D55" s="12">
        <v>9363.31</v>
      </c>
      <c r="E55" s="12">
        <v>48894.27</v>
      </c>
      <c r="F55" s="12">
        <v>6079.35</v>
      </c>
      <c r="G55" s="12">
        <v>3203.84</v>
      </c>
      <c r="H55" s="12">
        <v>3200.27</v>
      </c>
      <c r="I55" s="12">
        <v>559.82000000000005</v>
      </c>
      <c r="J55" s="12">
        <v>0</v>
      </c>
      <c r="K55" s="12">
        <f>2256.96+1.3</f>
        <v>2258.2600000000002</v>
      </c>
      <c r="L55" s="12">
        <v>616.07000000000005</v>
      </c>
      <c r="M55" s="12">
        <f t="shared" si="0"/>
        <v>83934.450000000012</v>
      </c>
      <c r="N55" s="12">
        <v>8393.4599999999991</v>
      </c>
      <c r="O55" s="12">
        <v>4189.84</v>
      </c>
      <c r="P55" s="12">
        <v>768</v>
      </c>
      <c r="Q55" s="12">
        <v>12418.1</v>
      </c>
      <c r="R55" s="12">
        <v>19495.55</v>
      </c>
      <c r="S55" s="12">
        <v>12339.78</v>
      </c>
      <c r="T55" s="12">
        <f t="shared" si="1"/>
        <v>141539.18000000002</v>
      </c>
    </row>
    <row r="56" spans="1:20" x14ac:dyDescent="0.25">
      <c r="A56" s="5" t="s">
        <v>76</v>
      </c>
      <c r="B56" s="18">
        <v>20</v>
      </c>
      <c r="C56" s="12">
        <v>936.24</v>
      </c>
      <c r="D56" s="12">
        <v>1097.44</v>
      </c>
      <c r="E56" s="12">
        <v>3913.85</v>
      </c>
      <c r="F56" s="12">
        <v>0</v>
      </c>
      <c r="G56" s="12">
        <v>245.57</v>
      </c>
      <c r="H56" s="12">
        <v>422.11</v>
      </c>
      <c r="I56" s="12">
        <v>99.78</v>
      </c>
      <c r="J56" s="12">
        <v>0</v>
      </c>
      <c r="K56" s="12">
        <v>351.96</v>
      </c>
      <c r="L56" s="12">
        <v>218.79</v>
      </c>
      <c r="M56" s="12">
        <f t="shared" si="0"/>
        <v>7285.7399999999989</v>
      </c>
      <c r="N56" s="12">
        <v>728.58</v>
      </c>
      <c r="O56" s="12">
        <v>455.96</v>
      </c>
      <c r="P56" s="12">
        <v>220</v>
      </c>
      <c r="Q56" s="12">
        <v>1104.82</v>
      </c>
      <c r="R56" s="12">
        <v>1694.06</v>
      </c>
      <c r="S56" s="12">
        <v>1147.03</v>
      </c>
      <c r="T56" s="12">
        <f t="shared" si="1"/>
        <v>12636.189999999999</v>
      </c>
    </row>
    <row r="57" spans="1:20" x14ac:dyDescent="0.25">
      <c r="A57" s="5" t="s">
        <v>152</v>
      </c>
      <c r="B57" s="18">
        <v>66</v>
      </c>
      <c r="C57" s="12">
        <v>4534.99</v>
      </c>
      <c r="D57" s="12">
        <v>5352.78</v>
      </c>
      <c r="E57" s="12">
        <v>22430.799999999999</v>
      </c>
      <c r="F57" s="12">
        <v>0</v>
      </c>
      <c r="G57" s="12">
        <v>966.48</v>
      </c>
      <c r="H57" s="12">
        <v>631.99</v>
      </c>
      <c r="I57" s="12">
        <v>0</v>
      </c>
      <c r="J57" s="12">
        <v>0</v>
      </c>
      <c r="K57" s="12">
        <v>698.08</v>
      </c>
      <c r="L57" s="12">
        <v>32.82</v>
      </c>
      <c r="M57" s="12">
        <f t="shared" si="0"/>
        <v>34647.94</v>
      </c>
      <c r="N57" s="12">
        <v>0</v>
      </c>
      <c r="O57" s="12">
        <v>0</v>
      </c>
      <c r="P57" s="12">
        <v>1716</v>
      </c>
      <c r="Q57" s="12">
        <v>4184.57</v>
      </c>
      <c r="R57" s="12">
        <v>7265.8</v>
      </c>
      <c r="S57" s="12">
        <v>4226.92</v>
      </c>
      <c r="T57" s="12">
        <f t="shared" si="1"/>
        <v>52041.23</v>
      </c>
    </row>
    <row r="58" spans="1:20" x14ac:dyDescent="0.25">
      <c r="A58" s="5" t="s">
        <v>77</v>
      </c>
      <c r="B58" s="18">
        <v>43</v>
      </c>
      <c r="C58" s="12">
        <v>2411.8200000000002</v>
      </c>
      <c r="D58" s="12">
        <v>1344.29</v>
      </c>
      <c r="E58" s="12">
        <v>11663.71</v>
      </c>
      <c r="F58" s="12">
        <v>2649.04</v>
      </c>
      <c r="G58" s="12">
        <v>988.45</v>
      </c>
      <c r="H58" s="12">
        <v>1107.07</v>
      </c>
      <c r="I58" s="12">
        <v>533.76</v>
      </c>
      <c r="J58" s="12">
        <v>1107.07</v>
      </c>
      <c r="K58" s="12">
        <v>7.35</v>
      </c>
      <c r="L58" s="12">
        <v>0</v>
      </c>
      <c r="M58" s="12">
        <f t="shared" si="0"/>
        <v>21812.559999999998</v>
      </c>
      <c r="N58" s="12">
        <v>2181.2800000000002</v>
      </c>
      <c r="O58" s="12">
        <v>1369.04</v>
      </c>
      <c r="P58" s="12">
        <v>215</v>
      </c>
      <c r="Q58" s="12">
        <v>3387.08</v>
      </c>
      <c r="R58" s="12">
        <v>5158.55</v>
      </c>
      <c r="S58" s="12">
        <v>4170.3100000000004</v>
      </c>
      <c r="T58" s="12">
        <f t="shared" si="1"/>
        <v>38293.82</v>
      </c>
    </row>
    <row r="59" spans="1:20" x14ac:dyDescent="0.25">
      <c r="A59" s="28" t="s">
        <v>170</v>
      </c>
      <c r="B59" s="18">
        <v>2745</v>
      </c>
      <c r="C59" s="12">
        <v>456282.78</v>
      </c>
      <c r="D59" s="12">
        <v>469358.72</v>
      </c>
      <c r="E59" s="12">
        <v>2529559.5</v>
      </c>
      <c r="F59" s="12">
        <v>0</v>
      </c>
      <c r="G59" s="12">
        <v>0</v>
      </c>
      <c r="H59" s="12">
        <v>0</v>
      </c>
      <c r="I59" s="12">
        <v>0</v>
      </c>
      <c r="J59" s="12">
        <v>0</v>
      </c>
      <c r="K59" s="12">
        <v>245919.04</v>
      </c>
      <c r="L59" s="12">
        <v>496914.55</v>
      </c>
      <c r="M59" s="12">
        <f t="shared" si="0"/>
        <v>4198034.59</v>
      </c>
      <c r="N59" s="12">
        <v>0</v>
      </c>
      <c r="O59" s="12">
        <v>0</v>
      </c>
      <c r="P59" s="12">
        <v>134752.25</v>
      </c>
      <c r="Q59" s="12">
        <f>401189.28+96829.93</f>
        <v>498019.21</v>
      </c>
      <c r="R59" s="12">
        <f>838106.49+5770.21</f>
        <v>843876.7</v>
      </c>
      <c r="S59" s="12">
        <f>419053.29+105939.67</f>
        <v>524992.96</v>
      </c>
      <c r="T59" s="12">
        <f t="shared" si="1"/>
        <v>6199675.71</v>
      </c>
    </row>
    <row r="60" spans="1:20" x14ac:dyDescent="0.25">
      <c r="A60" s="5" t="s">
        <v>79</v>
      </c>
      <c r="B60" s="18">
        <v>187</v>
      </c>
      <c r="C60" s="12">
        <v>39874.18</v>
      </c>
      <c r="D60" s="12">
        <v>20905.990000000002</v>
      </c>
      <c r="E60" s="12">
        <v>205231.8</v>
      </c>
      <c r="F60" s="12">
        <v>24819.79</v>
      </c>
      <c r="G60" s="12">
        <v>6200.7</v>
      </c>
      <c r="H60" s="12">
        <v>0</v>
      </c>
      <c r="I60" s="12">
        <v>0</v>
      </c>
      <c r="J60" s="12">
        <v>0</v>
      </c>
      <c r="K60" s="12">
        <v>9008.3700000000008</v>
      </c>
      <c r="L60" s="12">
        <v>0</v>
      </c>
      <c r="M60" s="12">
        <f t="shared" si="0"/>
        <v>306040.82999999996</v>
      </c>
      <c r="N60" s="12">
        <v>30604.080000000002</v>
      </c>
      <c r="O60" s="12">
        <v>15128.68</v>
      </c>
      <c r="P60" s="12">
        <v>0</v>
      </c>
      <c r="Q60" s="12">
        <v>41572.21</v>
      </c>
      <c r="R60" s="12">
        <v>70794.17</v>
      </c>
      <c r="S60" s="12">
        <v>37047.360000000001</v>
      </c>
      <c r="T60" s="12">
        <f t="shared" si="1"/>
        <v>501187.32999999996</v>
      </c>
    </row>
    <row r="61" spans="1:20" x14ac:dyDescent="0.25">
      <c r="A61" s="5" t="s">
        <v>80</v>
      </c>
      <c r="B61" s="18">
        <v>122</v>
      </c>
      <c r="C61" s="12">
        <v>6068.93</v>
      </c>
      <c r="D61" s="12">
        <v>3604.91</v>
      </c>
      <c r="E61" s="12">
        <v>19217.5</v>
      </c>
      <c r="F61" s="12">
        <v>3195.1</v>
      </c>
      <c r="G61" s="12">
        <v>1609.25</v>
      </c>
      <c r="H61" s="12">
        <v>0</v>
      </c>
      <c r="I61" s="12">
        <v>281.70999999999998</v>
      </c>
      <c r="J61" s="12">
        <v>0</v>
      </c>
      <c r="K61" s="12">
        <v>1239.1400000000001</v>
      </c>
      <c r="L61" s="12">
        <v>1038.5899999999999</v>
      </c>
      <c r="M61" s="12">
        <f t="shared" si="0"/>
        <v>36255.129999999997</v>
      </c>
      <c r="N61" s="12">
        <v>3625.52</v>
      </c>
      <c r="O61" s="12">
        <v>2270.6999999999998</v>
      </c>
      <c r="P61" s="12">
        <v>0</v>
      </c>
      <c r="Q61" s="12">
        <v>5533.44</v>
      </c>
      <c r="R61" s="12">
        <v>8674.27</v>
      </c>
      <c r="S61" s="12">
        <v>5435.14</v>
      </c>
      <c r="T61" s="12">
        <f t="shared" si="1"/>
        <v>61794.2</v>
      </c>
    </row>
    <row r="62" spans="1:20" x14ac:dyDescent="0.25">
      <c r="A62" s="5" t="s">
        <v>81</v>
      </c>
      <c r="B62" s="18">
        <v>533</v>
      </c>
      <c r="C62" s="12">
        <v>57805.08</v>
      </c>
      <c r="D62" s="12">
        <v>70124.160000000003</v>
      </c>
      <c r="E62" s="12">
        <v>380900.82</v>
      </c>
      <c r="F62" s="12">
        <v>53540.84</v>
      </c>
      <c r="G62" s="12">
        <v>9476.24</v>
      </c>
      <c r="H62" s="12">
        <v>4264.41</v>
      </c>
      <c r="I62" s="12">
        <v>0</v>
      </c>
      <c r="J62" s="12">
        <v>0</v>
      </c>
      <c r="K62" s="12">
        <v>20330.73</v>
      </c>
      <c r="L62" s="12">
        <v>14214.36</v>
      </c>
      <c r="M62" s="12">
        <f t="shared" si="0"/>
        <v>610656.64</v>
      </c>
      <c r="N62" s="12">
        <v>61068.47</v>
      </c>
      <c r="O62" s="12">
        <v>30225.26</v>
      </c>
      <c r="P62" s="12">
        <v>12259</v>
      </c>
      <c r="Q62" s="12">
        <v>83895.31</v>
      </c>
      <c r="R62" s="12">
        <v>141455.5</v>
      </c>
      <c r="S62" s="12">
        <v>100043.03</v>
      </c>
      <c r="T62" s="12">
        <f t="shared" si="1"/>
        <v>1039603.21</v>
      </c>
    </row>
    <row r="63" spans="1:20" x14ac:dyDescent="0.25">
      <c r="A63" s="5" t="s">
        <v>82</v>
      </c>
      <c r="B63" s="18">
        <v>229</v>
      </c>
      <c r="C63" s="12">
        <v>7764.57</v>
      </c>
      <c r="D63" s="12">
        <v>7367.69</v>
      </c>
      <c r="E63" s="12">
        <v>31482.400000000001</v>
      </c>
      <c r="F63" s="12">
        <v>0</v>
      </c>
      <c r="G63" s="12">
        <v>1972.78</v>
      </c>
      <c r="H63" s="12">
        <v>2536.37</v>
      </c>
      <c r="I63" s="12">
        <v>699.24</v>
      </c>
      <c r="J63" s="12">
        <v>0</v>
      </c>
      <c r="K63" s="12">
        <v>44.13</v>
      </c>
      <c r="L63" s="12">
        <v>0</v>
      </c>
      <c r="M63" s="12">
        <f t="shared" si="0"/>
        <v>51867.18</v>
      </c>
      <c r="N63" s="12">
        <v>5186.74</v>
      </c>
      <c r="O63" s="12">
        <v>3254.75</v>
      </c>
      <c r="P63" s="12">
        <v>2519</v>
      </c>
      <c r="Q63" s="12">
        <v>8041.17</v>
      </c>
      <c r="R63" s="12">
        <v>12164.77</v>
      </c>
      <c r="S63" s="12">
        <v>9465.86</v>
      </c>
      <c r="T63" s="12">
        <f t="shared" si="1"/>
        <v>92499.47</v>
      </c>
    </row>
    <row r="64" spans="1:20" x14ac:dyDescent="0.25">
      <c r="A64" s="5" t="s">
        <v>83</v>
      </c>
      <c r="B64" s="18">
        <v>229</v>
      </c>
      <c r="C64" s="12">
        <v>15660.35</v>
      </c>
      <c r="D64" s="12">
        <v>21181.11</v>
      </c>
      <c r="E64" s="12">
        <v>57575.199999999997</v>
      </c>
      <c r="F64" s="12">
        <v>9920.6299999999992</v>
      </c>
      <c r="G64" s="12">
        <v>6315.91</v>
      </c>
      <c r="H64" s="12">
        <v>0</v>
      </c>
      <c r="I64" s="12">
        <v>1904.04</v>
      </c>
      <c r="J64" s="12">
        <v>8060.15</v>
      </c>
      <c r="K64" s="12">
        <v>480.89</v>
      </c>
      <c r="L64" s="12">
        <v>5666.03</v>
      </c>
      <c r="M64" s="12">
        <f t="shared" si="0"/>
        <v>126764.31</v>
      </c>
      <c r="N64" s="12">
        <v>12676.43</v>
      </c>
      <c r="O64" s="12">
        <v>7955.48</v>
      </c>
      <c r="P64" s="12">
        <v>1145</v>
      </c>
      <c r="Q64" s="12">
        <v>19668.810000000001</v>
      </c>
      <c r="R64" s="12">
        <v>30005.94</v>
      </c>
      <c r="S64" s="12">
        <v>18174.62</v>
      </c>
      <c r="T64" s="12">
        <f t="shared" si="1"/>
        <v>216390.59</v>
      </c>
    </row>
    <row r="65" spans="1:20" x14ac:dyDescent="0.25">
      <c r="A65" s="5" t="s">
        <v>84</v>
      </c>
      <c r="B65" s="18">
        <v>41</v>
      </c>
      <c r="C65" s="12">
        <v>2952.64</v>
      </c>
      <c r="D65" s="12">
        <v>4356.34</v>
      </c>
      <c r="E65" s="12">
        <v>10939.28</v>
      </c>
      <c r="F65" s="12">
        <v>1258.51</v>
      </c>
      <c r="G65" s="12">
        <v>677.65</v>
      </c>
      <c r="H65" s="12">
        <v>943.86</v>
      </c>
      <c r="I65" s="12">
        <v>0</v>
      </c>
      <c r="J65" s="12">
        <v>0</v>
      </c>
      <c r="K65" s="12">
        <v>1042.9100000000001</v>
      </c>
      <c r="L65" s="12">
        <v>200</v>
      </c>
      <c r="M65" s="12">
        <f t="shared" si="0"/>
        <v>22371.190000000002</v>
      </c>
      <c r="N65" s="12">
        <v>2237.14</v>
      </c>
      <c r="O65" s="12">
        <v>1121.8800000000001</v>
      </c>
      <c r="P65" s="12">
        <v>0</v>
      </c>
      <c r="Q65" s="12">
        <v>3439.62</v>
      </c>
      <c r="R65" s="12">
        <v>5228.03</v>
      </c>
      <c r="S65" s="12">
        <v>3188.02</v>
      </c>
      <c r="T65" s="12">
        <f t="shared" si="1"/>
        <v>37585.879999999997</v>
      </c>
    </row>
    <row r="66" spans="1:20" x14ac:dyDescent="0.25">
      <c r="A66" s="5" t="s">
        <v>85</v>
      </c>
      <c r="B66" s="18">
        <v>193</v>
      </c>
      <c r="C66" s="12">
        <v>19382.990000000002</v>
      </c>
      <c r="D66" s="12">
        <v>9854.8799999999992</v>
      </c>
      <c r="E66" s="12">
        <v>74110.149999999994</v>
      </c>
      <c r="F66" s="12">
        <v>12672.12</v>
      </c>
      <c r="G66" s="12">
        <v>6339.49</v>
      </c>
      <c r="H66" s="12">
        <v>3478.3</v>
      </c>
      <c r="I66" s="12">
        <v>0</v>
      </c>
      <c r="J66" s="12">
        <v>0</v>
      </c>
      <c r="K66" s="12">
        <v>452.41</v>
      </c>
      <c r="L66" s="12">
        <v>0</v>
      </c>
      <c r="M66" s="12">
        <f t="shared" si="0"/>
        <v>126290.34</v>
      </c>
      <c r="N66" s="12">
        <v>12629.03</v>
      </c>
      <c r="O66" s="12">
        <v>6276.75</v>
      </c>
      <c r="P66" s="12">
        <v>0</v>
      </c>
      <c r="Q66" s="12">
        <v>17999.37</v>
      </c>
      <c r="R66" s="12">
        <v>29425.22</v>
      </c>
      <c r="S66" s="12">
        <v>14519.61</v>
      </c>
      <c r="T66" s="12">
        <f t="shared" si="1"/>
        <v>207140.32</v>
      </c>
    </row>
    <row r="67" spans="1:20" x14ac:dyDescent="0.25">
      <c r="A67" s="5" t="s">
        <v>86</v>
      </c>
      <c r="B67" s="18">
        <v>107</v>
      </c>
      <c r="C67" s="12">
        <v>3719.65</v>
      </c>
      <c r="D67" s="12">
        <v>3989.76</v>
      </c>
      <c r="E67" s="12">
        <v>11010.35</v>
      </c>
      <c r="F67" s="12">
        <v>3598.99</v>
      </c>
      <c r="G67" s="12">
        <v>830.83</v>
      </c>
      <c r="H67" s="12">
        <v>1248.2</v>
      </c>
      <c r="I67" s="12">
        <v>424.39</v>
      </c>
      <c r="J67" s="12">
        <v>0</v>
      </c>
      <c r="K67" s="12">
        <v>1090.19</v>
      </c>
      <c r="L67" s="12">
        <v>0</v>
      </c>
      <c r="M67" s="12">
        <f t="shared" si="0"/>
        <v>25912.36</v>
      </c>
      <c r="N67" s="12">
        <v>2591.2399999999998</v>
      </c>
      <c r="O67" s="12">
        <v>1619</v>
      </c>
      <c r="P67" s="12">
        <v>963</v>
      </c>
      <c r="Q67" s="12">
        <v>3876.49</v>
      </c>
      <c r="R67" s="12">
        <v>6238.52</v>
      </c>
      <c r="S67" s="12">
        <v>4617.26</v>
      </c>
      <c r="T67" s="12">
        <f t="shared" si="1"/>
        <v>45817.87</v>
      </c>
    </row>
    <row r="68" spans="1:20" x14ac:dyDescent="0.25">
      <c r="A68" s="5" t="s">
        <v>87</v>
      </c>
      <c r="B68" s="18">
        <v>13</v>
      </c>
      <c r="C68" s="12">
        <v>682.57</v>
      </c>
      <c r="D68" s="12">
        <v>2798.82</v>
      </c>
      <c r="E68" s="12">
        <v>1572.16</v>
      </c>
      <c r="F68" s="12">
        <v>660.2</v>
      </c>
      <c r="G68" s="12">
        <v>279.75</v>
      </c>
      <c r="H68" s="12">
        <v>346.88</v>
      </c>
      <c r="I68" s="12">
        <v>156.66</v>
      </c>
      <c r="J68" s="12">
        <v>0</v>
      </c>
      <c r="K68" s="12">
        <v>0</v>
      </c>
      <c r="L68" s="12">
        <v>0</v>
      </c>
      <c r="M68" s="12">
        <f t="shared" si="0"/>
        <v>6497.04</v>
      </c>
      <c r="N68" s="12">
        <v>649.72</v>
      </c>
      <c r="O68" s="12">
        <v>407.93</v>
      </c>
      <c r="P68" s="12">
        <v>130</v>
      </c>
      <c r="Q68" s="12">
        <v>1014.05</v>
      </c>
      <c r="R68" s="12">
        <v>1536.95</v>
      </c>
      <c r="S68" s="12">
        <v>950.46</v>
      </c>
      <c r="T68" s="12">
        <f t="shared" si="1"/>
        <v>11186.150000000001</v>
      </c>
    </row>
    <row r="69" spans="1:20" x14ac:dyDescent="0.25">
      <c r="A69" s="5" t="s">
        <v>88</v>
      </c>
      <c r="B69" s="18">
        <v>66</v>
      </c>
      <c r="C69" s="12">
        <v>3327.39</v>
      </c>
      <c r="D69" s="12">
        <v>4063.81</v>
      </c>
      <c r="E69" s="12">
        <v>14809.67</v>
      </c>
      <c r="F69" s="12">
        <v>3545.62</v>
      </c>
      <c r="G69" s="12">
        <v>1090.94</v>
      </c>
      <c r="H69" s="12">
        <v>1881.93</v>
      </c>
      <c r="I69" s="12">
        <v>381.8</v>
      </c>
      <c r="J69" s="12">
        <v>0</v>
      </c>
      <c r="K69" s="12">
        <v>34.32</v>
      </c>
      <c r="L69" s="12">
        <v>76</v>
      </c>
      <c r="M69" s="12">
        <f t="shared" ref="M69:M123" si="2">SUM(C69:L69)</f>
        <v>29211.479999999996</v>
      </c>
      <c r="N69" s="12">
        <v>2921.17</v>
      </c>
      <c r="O69" s="12">
        <v>2576.9899999999998</v>
      </c>
      <c r="P69" s="12">
        <v>1848</v>
      </c>
      <c r="Q69" s="12">
        <v>4537.93</v>
      </c>
      <c r="R69" s="12">
        <v>7073.93</v>
      </c>
      <c r="S69" s="12">
        <v>6309</v>
      </c>
      <c r="T69" s="12">
        <f t="shared" ref="T69:T122" si="3">SUM(M69:S69)</f>
        <v>54478.499999999993</v>
      </c>
    </row>
    <row r="70" spans="1:20" x14ac:dyDescent="0.25">
      <c r="A70" s="5" t="s">
        <v>89</v>
      </c>
      <c r="B70" s="18">
        <v>108</v>
      </c>
      <c r="C70" s="12">
        <v>5963.39</v>
      </c>
      <c r="D70" s="12">
        <v>5278.79</v>
      </c>
      <c r="E70" s="12">
        <v>25703.87</v>
      </c>
      <c r="F70" s="12">
        <v>3791.63</v>
      </c>
      <c r="G70" s="12">
        <v>3719.98</v>
      </c>
      <c r="H70" s="12">
        <v>2302.21</v>
      </c>
      <c r="I70" s="12">
        <v>522.23</v>
      </c>
      <c r="J70" s="12">
        <v>0</v>
      </c>
      <c r="K70" s="12">
        <v>12.71</v>
      </c>
      <c r="L70" s="12">
        <v>0</v>
      </c>
      <c r="M70" s="12">
        <f t="shared" si="2"/>
        <v>47294.810000000005</v>
      </c>
      <c r="N70" s="12">
        <v>4729.4799999999996</v>
      </c>
      <c r="O70" s="12">
        <v>4136.24</v>
      </c>
      <c r="P70" s="12">
        <v>1296</v>
      </c>
      <c r="Q70" s="12">
        <v>7064.9</v>
      </c>
      <c r="R70" s="12">
        <v>11232.11</v>
      </c>
      <c r="S70" s="12">
        <v>7236.05</v>
      </c>
      <c r="T70" s="12">
        <f t="shared" si="3"/>
        <v>82989.590000000011</v>
      </c>
    </row>
    <row r="71" spans="1:20" x14ac:dyDescent="0.25">
      <c r="A71" s="5" t="s">
        <v>90</v>
      </c>
      <c r="B71" s="18">
        <v>54</v>
      </c>
      <c r="C71" s="12">
        <v>2855.77</v>
      </c>
      <c r="D71" s="12">
        <v>3043.04</v>
      </c>
      <c r="E71" s="12">
        <v>9550.4699999999993</v>
      </c>
      <c r="F71" s="12">
        <v>1427.95</v>
      </c>
      <c r="G71" s="12">
        <v>795.88</v>
      </c>
      <c r="H71" s="12">
        <v>1123.5899999999999</v>
      </c>
      <c r="I71" s="12">
        <v>0</v>
      </c>
      <c r="J71" s="12">
        <v>0</v>
      </c>
      <c r="K71" s="12">
        <f>37.51+1557.03</f>
        <v>1594.54</v>
      </c>
      <c r="L71" s="12">
        <v>0</v>
      </c>
      <c r="M71" s="12">
        <f t="shared" si="2"/>
        <v>20391.240000000002</v>
      </c>
      <c r="N71" s="12">
        <v>2039.15</v>
      </c>
      <c r="O71" s="12">
        <v>1276.5999999999999</v>
      </c>
      <c r="P71" s="12">
        <v>54</v>
      </c>
      <c r="Q71" s="12">
        <v>3114.12</v>
      </c>
      <c r="R71" s="12">
        <v>4849.38</v>
      </c>
      <c r="S71" s="12">
        <v>2910.69</v>
      </c>
      <c r="T71" s="12">
        <f t="shared" si="3"/>
        <v>34635.18</v>
      </c>
    </row>
    <row r="72" spans="1:20" x14ac:dyDescent="0.25">
      <c r="A72" s="5" t="s">
        <v>91</v>
      </c>
      <c r="B72" s="18">
        <v>75</v>
      </c>
      <c r="C72" s="12">
        <v>4352.34</v>
      </c>
      <c r="D72" s="12">
        <v>3255.25</v>
      </c>
      <c r="E72" s="12">
        <v>14814.59</v>
      </c>
      <c r="F72" s="12">
        <v>2483.7600000000002</v>
      </c>
      <c r="G72" s="12">
        <v>1414.28</v>
      </c>
      <c r="H72" s="12">
        <v>1383.5</v>
      </c>
      <c r="I72" s="12">
        <v>0</v>
      </c>
      <c r="J72" s="12">
        <v>1520.5</v>
      </c>
      <c r="K72" s="12">
        <v>1840.27</v>
      </c>
      <c r="L72" s="12">
        <v>0</v>
      </c>
      <c r="M72" s="12">
        <f t="shared" si="2"/>
        <v>31064.49</v>
      </c>
      <c r="N72" s="12">
        <v>3106.45</v>
      </c>
      <c r="O72" s="12">
        <v>1938.74</v>
      </c>
      <c r="P72" s="12">
        <v>300</v>
      </c>
      <c r="Q72" s="12">
        <v>4573.92</v>
      </c>
      <c r="R72" s="12">
        <v>7302.78</v>
      </c>
      <c r="S72" s="12">
        <v>4363.93</v>
      </c>
      <c r="T72" s="12">
        <f t="shared" si="3"/>
        <v>52650.31</v>
      </c>
    </row>
    <row r="73" spans="1:20" x14ac:dyDescent="0.25">
      <c r="A73" s="5" t="s">
        <v>92</v>
      </c>
      <c r="B73" s="18">
        <v>43</v>
      </c>
      <c r="C73" s="12">
        <v>3158.32</v>
      </c>
      <c r="D73" s="12">
        <v>2859.37</v>
      </c>
      <c r="E73" s="12">
        <v>9138.7099999999991</v>
      </c>
      <c r="F73" s="12">
        <v>0</v>
      </c>
      <c r="G73" s="12">
        <v>718.9</v>
      </c>
      <c r="H73" s="12">
        <v>1093.8599999999999</v>
      </c>
      <c r="I73" s="12">
        <v>354.79</v>
      </c>
      <c r="J73" s="12">
        <v>0</v>
      </c>
      <c r="K73" s="12">
        <f>9.42+2222.34</f>
        <v>2231.7600000000002</v>
      </c>
      <c r="L73" s="12">
        <v>0</v>
      </c>
      <c r="M73" s="12">
        <f t="shared" si="2"/>
        <v>19555.71</v>
      </c>
      <c r="N73" s="12">
        <v>1955.57</v>
      </c>
      <c r="O73" s="12">
        <v>980.05</v>
      </c>
      <c r="P73" s="12">
        <v>344</v>
      </c>
      <c r="Q73" s="12">
        <v>2990.07</v>
      </c>
      <c r="R73" s="12">
        <v>4584.2700000000004</v>
      </c>
      <c r="S73" s="12">
        <v>2894.13</v>
      </c>
      <c r="T73" s="12">
        <f t="shared" si="3"/>
        <v>33303.799999999996</v>
      </c>
    </row>
    <row r="74" spans="1:20" x14ac:dyDescent="0.25">
      <c r="A74" s="5" t="s">
        <v>93</v>
      </c>
      <c r="B74" s="18">
        <v>69</v>
      </c>
      <c r="C74" s="12">
        <v>9747.99</v>
      </c>
      <c r="D74" s="12">
        <v>10387.18</v>
      </c>
      <c r="E74" s="12">
        <v>39279.54</v>
      </c>
      <c r="F74" s="12">
        <v>6871.5</v>
      </c>
      <c r="G74" s="12">
        <v>1598.2</v>
      </c>
      <c r="H74" s="12">
        <v>3515.66</v>
      </c>
      <c r="I74" s="12">
        <v>1126.6600000000001</v>
      </c>
      <c r="J74" s="12">
        <v>0</v>
      </c>
      <c r="K74" s="12">
        <v>10.71</v>
      </c>
      <c r="L74" s="12">
        <v>758.33</v>
      </c>
      <c r="M74" s="12">
        <f t="shared" si="2"/>
        <v>73295.77</v>
      </c>
      <c r="N74" s="12">
        <v>7329.58</v>
      </c>
      <c r="O74" s="12">
        <v>3653.95</v>
      </c>
      <c r="P74" s="12">
        <v>1104</v>
      </c>
      <c r="Q74" s="12">
        <f>8062.57+2662.35</f>
        <v>10724.92</v>
      </c>
      <c r="R74" s="12">
        <f>16855.79+138</f>
        <v>16993.79</v>
      </c>
      <c r="S74" s="12">
        <f>690+8427.97</f>
        <v>9117.9699999999993</v>
      </c>
      <c r="T74" s="12">
        <f t="shared" si="3"/>
        <v>122219.98000000001</v>
      </c>
    </row>
    <row r="75" spans="1:20" x14ac:dyDescent="0.25">
      <c r="A75" s="5" t="s">
        <v>94</v>
      </c>
      <c r="B75" s="18">
        <v>46</v>
      </c>
      <c r="C75" s="12">
        <v>3383.02</v>
      </c>
      <c r="D75" s="12">
        <v>3019.53</v>
      </c>
      <c r="E75" s="12">
        <v>11468.3</v>
      </c>
      <c r="F75" s="12">
        <v>1633.52</v>
      </c>
      <c r="G75" s="12">
        <v>637.63</v>
      </c>
      <c r="H75" s="12">
        <v>1108.0999999999999</v>
      </c>
      <c r="I75" s="12">
        <v>0</v>
      </c>
      <c r="J75" s="12">
        <v>2077.16</v>
      </c>
      <c r="K75" s="12">
        <v>627.98</v>
      </c>
      <c r="L75" s="12">
        <v>0</v>
      </c>
      <c r="M75" s="12">
        <f t="shared" si="2"/>
        <v>23955.239999999998</v>
      </c>
      <c r="N75" s="12">
        <v>2395.52</v>
      </c>
      <c r="O75" s="12">
        <v>1201.04</v>
      </c>
      <c r="P75" s="12">
        <v>322</v>
      </c>
      <c r="Q75" s="12">
        <f>2635.08+1040.2</f>
        <v>3675.2799999999997</v>
      </c>
      <c r="R75" s="12">
        <v>5556.36</v>
      </c>
      <c r="S75" s="12">
        <v>3215.18</v>
      </c>
      <c r="T75" s="12">
        <f t="shared" si="3"/>
        <v>40320.619999999995</v>
      </c>
    </row>
    <row r="76" spans="1:20" x14ac:dyDescent="0.25">
      <c r="A76" s="5" t="s">
        <v>95</v>
      </c>
      <c r="B76" s="18">
        <v>243</v>
      </c>
      <c r="C76" s="12">
        <v>28280.32</v>
      </c>
      <c r="D76" s="12">
        <v>22716.91</v>
      </c>
      <c r="E76" s="12">
        <v>69254.59</v>
      </c>
      <c r="F76" s="12">
        <v>13676.7</v>
      </c>
      <c r="G76" s="12">
        <v>5563.37</v>
      </c>
      <c r="H76" s="12">
        <v>2086.4</v>
      </c>
      <c r="I76" s="12">
        <v>0</v>
      </c>
      <c r="J76" s="12">
        <v>0</v>
      </c>
      <c r="K76" s="12">
        <v>6226.15</v>
      </c>
      <c r="L76" s="12">
        <f>2318.08+1763.73</f>
        <v>4081.81</v>
      </c>
      <c r="M76" s="12">
        <f t="shared" si="2"/>
        <v>151886.24999999997</v>
      </c>
      <c r="N76" s="12">
        <v>15188.75</v>
      </c>
      <c r="O76" s="12">
        <v>9465.85</v>
      </c>
      <c r="P76" s="12">
        <v>4860</v>
      </c>
      <c r="Q76" s="12">
        <v>22240.73</v>
      </c>
      <c r="R76" s="12">
        <v>35794.129999999997</v>
      </c>
      <c r="S76" s="12">
        <v>21299.200000000001</v>
      </c>
      <c r="T76" s="12">
        <f t="shared" si="3"/>
        <v>260734.91</v>
      </c>
    </row>
    <row r="77" spans="1:20" x14ac:dyDescent="0.25">
      <c r="A77" s="5" t="s">
        <v>96</v>
      </c>
      <c r="B77" s="18">
        <v>86</v>
      </c>
      <c r="C77" s="12">
        <v>6240.16</v>
      </c>
      <c r="D77" s="12">
        <v>4859.2</v>
      </c>
      <c r="E77" s="12">
        <v>20054.05</v>
      </c>
      <c r="F77" s="12">
        <v>3837.41</v>
      </c>
      <c r="G77" s="12">
        <v>2045.95</v>
      </c>
      <c r="H77" s="12">
        <v>0</v>
      </c>
      <c r="I77" s="12">
        <v>767.23</v>
      </c>
      <c r="J77" s="12">
        <v>0</v>
      </c>
      <c r="K77" s="12">
        <f>6.54+9308.2</f>
        <v>9314.7400000000016</v>
      </c>
      <c r="L77" s="12">
        <v>0</v>
      </c>
      <c r="M77" s="12">
        <f t="shared" si="2"/>
        <v>47118.740000000005</v>
      </c>
      <c r="N77" s="12">
        <v>4711.87</v>
      </c>
      <c r="O77" s="12">
        <v>2348.5500000000002</v>
      </c>
      <c r="P77" s="12">
        <v>269.18</v>
      </c>
      <c r="Q77" s="12">
        <v>6883.11</v>
      </c>
      <c r="R77" s="12">
        <v>10921.83</v>
      </c>
      <c r="S77" s="12">
        <v>6707.92</v>
      </c>
      <c r="T77" s="12">
        <f t="shared" si="3"/>
        <v>78961.200000000012</v>
      </c>
    </row>
    <row r="78" spans="1:20" x14ac:dyDescent="0.25">
      <c r="A78" s="5" t="s">
        <v>97</v>
      </c>
      <c r="B78" s="18">
        <v>9</v>
      </c>
      <c r="C78" s="12">
        <v>301.33999999999997</v>
      </c>
      <c r="D78" s="12">
        <v>333.48</v>
      </c>
      <c r="E78" s="12">
        <v>1237.5</v>
      </c>
      <c r="F78" s="12">
        <v>93.86</v>
      </c>
      <c r="G78" s="12">
        <v>91.42</v>
      </c>
      <c r="H78" s="12">
        <v>74.099999999999994</v>
      </c>
      <c r="I78" s="12">
        <v>32.14</v>
      </c>
      <c r="J78" s="12">
        <v>0</v>
      </c>
      <c r="K78" s="12">
        <v>0</v>
      </c>
      <c r="L78" s="12">
        <v>0</v>
      </c>
      <c r="M78" s="12">
        <f t="shared" si="2"/>
        <v>2163.8399999999997</v>
      </c>
      <c r="N78" s="12">
        <v>216.38</v>
      </c>
      <c r="O78" s="12">
        <v>135.44</v>
      </c>
      <c r="P78" s="12">
        <v>90</v>
      </c>
      <c r="Q78" s="12">
        <v>328.93</v>
      </c>
      <c r="R78" s="12">
        <v>521.13</v>
      </c>
      <c r="S78" s="12">
        <v>386.58</v>
      </c>
      <c r="T78" s="12">
        <f t="shared" si="3"/>
        <v>3842.2999999999997</v>
      </c>
    </row>
    <row r="79" spans="1:20" x14ac:dyDescent="0.25">
      <c r="A79" s="5" t="s">
        <v>98</v>
      </c>
      <c r="B79" s="18">
        <v>360</v>
      </c>
      <c r="C79" s="12">
        <v>52408.72</v>
      </c>
      <c r="D79" s="12">
        <v>35654.83</v>
      </c>
      <c r="E79" s="12">
        <v>254808.65</v>
      </c>
      <c r="F79" s="12">
        <v>24056.09</v>
      </c>
      <c r="G79" s="12">
        <v>21478.77</v>
      </c>
      <c r="H79" s="12">
        <v>6443.8</v>
      </c>
      <c r="I79" s="12">
        <v>0</v>
      </c>
      <c r="J79" s="12">
        <v>21318.87</v>
      </c>
      <c r="K79" s="12">
        <v>0.3</v>
      </c>
      <c r="L79" s="12">
        <f>709+159.9</f>
        <v>868.9</v>
      </c>
      <c r="M79" s="12">
        <f t="shared" si="2"/>
        <v>417038.93000000005</v>
      </c>
      <c r="N79" s="12">
        <v>41745.360000000001</v>
      </c>
      <c r="O79" s="12">
        <v>26082</v>
      </c>
      <c r="P79" s="12">
        <v>0</v>
      </c>
      <c r="Q79" s="12">
        <v>57628.08</v>
      </c>
      <c r="R79" s="12">
        <v>97756.25</v>
      </c>
      <c r="S79" s="12">
        <v>58016.53</v>
      </c>
      <c r="T79" s="12">
        <f t="shared" si="3"/>
        <v>698267.15</v>
      </c>
    </row>
    <row r="80" spans="1:20" x14ac:dyDescent="0.25">
      <c r="A80" s="5" t="s">
        <v>99</v>
      </c>
      <c r="B80" s="18">
        <v>51</v>
      </c>
      <c r="C80" s="12">
        <v>2247.7600000000002</v>
      </c>
      <c r="D80" s="12">
        <v>5711.53</v>
      </c>
      <c r="E80" s="12">
        <v>7535.55</v>
      </c>
      <c r="F80" s="12">
        <v>1087.05</v>
      </c>
      <c r="G80" s="12">
        <v>1473.94</v>
      </c>
      <c r="H80" s="12">
        <v>1326.55</v>
      </c>
      <c r="I80" s="12">
        <v>235.19</v>
      </c>
      <c r="J80" s="12">
        <v>0</v>
      </c>
      <c r="K80" s="12">
        <v>14.76</v>
      </c>
      <c r="L80" s="12">
        <v>0</v>
      </c>
      <c r="M80" s="12">
        <f t="shared" si="2"/>
        <v>19632.329999999994</v>
      </c>
      <c r="N80" s="12">
        <v>1955.39</v>
      </c>
      <c r="O80" s="12">
        <v>1478.71</v>
      </c>
      <c r="P80" s="12">
        <v>850</v>
      </c>
      <c r="Q80" s="12">
        <v>3044.43</v>
      </c>
      <c r="R80" s="12">
        <v>4713.26</v>
      </c>
      <c r="S80" s="12">
        <v>2808.49</v>
      </c>
      <c r="T80" s="12">
        <f t="shared" si="3"/>
        <v>34482.609999999993</v>
      </c>
    </row>
    <row r="81" spans="1:20" x14ac:dyDescent="0.25">
      <c r="A81" s="5" t="s">
        <v>100</v>
      </c>
      <c r="B81" s="18">
        <v>41</v>
      </c>
      <c r="C81" s="12">
        <v>3114.9</v>
      </c>
      <c r="D81" s="12">
        <v>2195.75</v>
      </c>
      <c r="E81" s="12">
        <v>13327.7</v>
      </c>
      <c r="F81" s="12">
        <v>1174.47</v>
      </c>
      <c r="G81" s="12">
        <v>765.96</v>
      </c>
      <c r="H81" s="12">
        <v>740.45</v>
      </c>
      <c r="I81" s="12">
        <v>0</v>
      </c>
      <c r="J81" s="12">
        <v>0</v>
      </c>
      <c r="K81" s="12">
        <v>2.44</v>
      </c>
      <c r="L81" s="12">
        <v>280.87</v>
      </c>
      <c r="M81" s="12">
        <f t="shared" si="2"/>
        <v>21602.539999999997</v>
      </c>
      <c r="N81" s="12">
        <v>2160.29</v>
      </c>
      <c r="O81" s="12">
        <v>1353.8</v>
      </c>
      <c r="P81" s="12">
        <v>313.64999999999998</v>
      </c>
      <c r="Q81" s="12">
        <v>3312.87</v>
      </c>
      <c r="R81" s="12">
        <v>5023.3100000000004</v>
      </c>
      <c r="S81" s="12">
        <v>3126.7</v>
      </c>
      <c r="T81" s="12">
        <f>SUM(M81:S81)</f>
        <v>36893.159999999996</v>
      </c>
    </row>
    <row r="82" spans="1:20" x14ac:dyDescent="0.25">
      <c r="A82" s="5" t="s">
        <v>101</v>
      </c>
      <c r="B82" s="18">
        <v>97</v>
      </c>
      <c r="C82" s="12">
        <v>12473.03</v>
      </c>
      <c r="D82" s="12">
        <v>10223.75</v>
      </c>
      <c r="E82" s="12">
        <v>39770.47</v>
      </c>
      <c r="F82" s="12">
        <v>9917.07</v>
      </c>
      <c r="G82" s="12">
        <v>8470.0400000000009</v>
      </c>
      <c r="H82" s="12">
        <v>1840.25</v>
      </c>
      <c r="I82" s="12">
        <v>511.33</v>
      </c>
      <c r="J82" s="12">
        <v>0</v>
      </c>
      <c r="K82" s="12">
        <v>7253.79</v>
      </c>
      <c r="L82" s="12">
        <f>3885.01+9044.51</f>
        <v>12929.52</v>
      </c>
      <c r="M82" s="12">
        <f t="shared" si="2"/>
        <v>103389.25000000001</v>
      </c>
      <c r="N82" s="12">
        <v>10338.94</v>
      </c>
      <c r="O82" s="12">
        <v>5157.8100000000004</v>
      </c>
      <c r="P82" s="12">
        <v>0</v>
      </c>
      <c r="Q82" s="12">
        <f>11340.82+4196.39</f>
        <v>15537.21</v>
      </c>
      <c r="R82" s="12">
        <f>23713.2+194</f>
        <v>23907.200000000001</v>
      </c>
      <c r="S82" s="12">
        <f>970+11856.66</f>
        <v>12826.66</v>
      </c>
      <c r="T82" s="12">
        <f t="shared" si="3"/>
        <v>171157.07000000004</v>
      </c>
    </row>
    <row r="83" spans="1:20" x14ac:dyDescent="0.25">
      <c r="A83" s="5" t="s">
        <v>102</v>
      </c>
      <c r="B83" s="18">
        <v>53</v>
      </c>
      <c r="C83" s="12">
        <v>3207.78</v>
      </c>
      <c r="D83" s="12">
        <v>2913.91</v>
      </c>
      <c r="E83" s="12">
        <v>14487.54</v>
      </c>
      <c r="F83" s="12">
        <v>2972.17</v>
      </c>
      <c r="G83" s="12">
        <v>919.27</v>
      </c>
      <c r="H83" s="12">
        <v>1256.56</v>
      </c>
      <c r="I83" s="12">
        <v>0</v>
      </c>
      <c r="J83" s="12">
        <v>0</v>
      </c>
      <c r="K83" s="12">
        <v>0</v>
      </c>
      <c r="L83" s="12">
        <v>18.53</v>
      </c>
      <c r="M83" s="12">
        <f t="shared" si="2"/>
        <v>25775.760000000002</v>
      </c>
      <c r="N83" s="12">
        <v>2577.58</v>
      </c>
      <c r="O83" s="12">
        <v>1290.95</v>
      </c>
      <c r="P83" s="12">
        <v>265</v>
      </c>
      <c r="Q83" s="12">
        <v>3920.42</v>
      </c>
      <c r="R83" s="12">
        <v>5928.86</v>
      </c>
      <c r="S83" s="12">
        <v>3759.43</v>
      </c>
      <c r="T83" s="12">
        <f t="shared" si="3"/>
        <v>43518.000000000007</v>
      </c>
    </row>
    <row r="84" spans="1:20" x14ac:dyDescent="0.25">
      <c r="A84" s="5" t="s">
        <v>103</v>
      </c>
      <c r="B84" s="18">
        <v>42</v>
      </c>
      <c r="C84" s="12">
        <v>1901.94</v>
      </c>
      <c r="D84" s="12">
        <v>3255.85</v>
      </c>
      <c r="E84" s="12">
        <v>6952.1</v>
      </c>
      <c r="F84" s="12">
        <v>1037.68</v>
      </c>
      <c r="G84" s="12">
        <v>1236.22</v>
      </c>
      <c r="H84" s="12">
        <v>710.54</v>
      </c>
      <c r="I84" s="12">
        <v>0</v>
      </c>
      <c r="J84" s="12">
        <v>0</v>
      </c>
      <c r="K84" s="12">
        <v>0</v>
      </c>
      <c r="L84" s="12">
        <v>1436.17</v>
      </c>
      <c r="M84" s="12">
        <f t="shared" si="2"/>
        <v>16530.5</v>
      </c>
      <c r="N84" s="12">
        <v>1653.05</v>
      </c>
      <c r="O84" s="12">
        <v>1033.46</v>
      </c>
      <c r="P84" s="12">
        <v>1428</v>
      </c>
      <c r="Q84" s="12">
        <v>2485.69</v>
      </c>
      <c r="R84" s="12">
        <v>3885.4</v>
      </c>
      <c r="S84" s="12">
        <v>2551.6999999999998</v>
      </c>
      <c r="T84" s="12">
        <f t="shared" si="3"/>
        <v>29567.8</v>
      </c>
    </row>
    <row r="85" spans="1:20" x14ac:dyDescent="0.25">
      <c r="A85" s="5" t="s">
        <v>104</v>
      </c>
      <c r="B85" s="18">
        <v>71</v>
      </c>
      <c r="C85" s="12">
        <v>5009.4399999999996</v>
      </c>
      <c r="D85" s="12">
        <v>8870.01</v>
      </c>
      <c r="E85" s="12">
        <v>19380.79</v>
      </c>
      <c r="F85" s="12">
        <v>4023.98</v>
      </c>
      <c r="G85" s="12">
        <v>1108.73</v>
      </c>
      <c r="H85" s="12">
        <v>1601.46</v>
      </c>
      <c r="I85" s="12">
        <v>328.49</v>
      </c>
      <c r="J85" s="12">
        <v>0</v>
      </c>
      <c r="K85" s="12">
        <v>0</v>
      </c>
      <c r="L85" s="12">
        <v>3452.49</v>
      </c>
      <c r="M85" s="12">
        <f t="shared" si="2"/>
        <v>43775.390000000007</v>
      </c>
      <c r="N85" s="12">
        <v>4377.54</v>
      </c>
      <c r="O85" s="12">
        <v>2746.89</v>
      </c>
      <c r="P85" s="12">
        <v>0</v>
      </c>
      <c r="Q85" s="12">
        <v>6679.97</v>
      </c>
      <c r="R85" s="12">
        <v>10203.86</v>
      </c>
      <c r="S85" s="12">
        <v>6450.99</v>
      </c>
      <c r="T85" s="12">
        <f t="shared" si="3"/>
        <v>74234.640000000014</v>
      </c>
    </row>
    <row r="86" spans="1:20" x14ac:dyDescent="0.25">
      <c r="A86" s="5" t="s">
        <v>105</v>
      </c>
      <c r="B86" s="18">
        <v>56</v>
      </c>
      <c r="C86" s="12">
        <v>1950.42</v>
      </c>
      <c r="D86" s="12">
        <v>1817.91</v>
      </c>
      <c r="E86" s="12">
        <v>6695.66</v>
      </c>
      <c r="F86" s="12">
        <v>1284.3900000000001</v>
      </c>
      <c r="G86" s="12">
        <v>1265.5</v>
      </c>
      <c r="H86" s="12">
        <v>921.48</v>
      </c>
      <c r="I86" s="12">
        <v>472.91</v>
      </c>
      <c r="J86" s="12">
        <v>0</v>
      </c>
      <c r="K86" s="12">
        <f>1387.8+1.4</f>
        <v>1389.2</v>
      </c>
      <c r="L86" s="12">
        <v>0</v>
      </c>
      <c r="M86" s="12">
        <f t="shared" si="2"/>
        <v>15797.47</v>
      </c>
      <c r="N86" s="12">
        <v>1579.75</v>
      </c>
      <c r="O86" s="12">
        <v>989.2</v>
      </c>
      <c r="P86" s="12">
        <v>336</v>
      </c>
      <c r="Q86" s="12">
        <v>2406.75</v>
      </c>
      <c r="R86" s="12">
        <v>3785.28</v>
      </c>
      <c r="S86" s="12">
        <v>2396.64</v>
      </c>
      <c r="T86" s="12">
        <f t="shared" si="3"/>
        <v>27291.09</v>
      </c>
    </row>
    <row r="87" spans="1:20" x14ac:dyDescent="0.25">
      <c r="A87" s="5" t="s">
        <v>106</v>
      </c>
      <c r="B87" s="18">
        <v>110</v>
      </c>
      <c r="C87" s="12">
        <v>11566.69</v>
      </c>
      <c r="D87" s="12">
        <v>8242.7199999999993</v>
      </c>
      <c r="E87" s="12">
        <v>46175.62</v>
      </c>
      <c r="F87" s="12">
        <v>8996.1200000000008</v>
      </c>
      <c r="G87" s="12">
        <v>3791.28</v>
      </c>
      <c r="H87" s="12">
        <v>3029.79</v>
      </c>
      <c r="I87" s="12">
        <v>663.48</v>
      </c>
      <c r="J87" s="12">
        <v>0</v>
      </c>
      <c r="K87" s="12">
        <v>3048.82</v>
      </c>
      <c r="L87" s="12">
        <v>0</v>
      </c>
      <c r="M87" s="12">
        <f t="shared" si="2"/>
        <v>85514.51999999999</v>
      </c>
      <c r="N87" s="12">
        <v>8551.5</v>
      </c>
      <c r="O87" s="12">
        <v>4250.7299999999996</v>
      </c>
      <c r="P87" s="12">
        <v>660</v>
      </c>
      <c r="Q87" s="12">
        <v>12202.34</v>
      </c>
      <c r="R87" s="12">
        <v>19883.349999999999</v>
      </c>
      <c r="S87" s="12">
        <v>11481.68</v>
      </c>
      <c r="T87" s="12">
        <f t="shared" si="3"/>
        <v>142544.11999999997</v>
      </c>
    </row>
    <row r="88" spans="1:20" x14ac:dyDescent="0.25">
      <c r="A88" s="5" t="s">
        <v>107</v>
      </c>
      <c r="B88" s="18">
        <v>41</v>
      </c>
      <c r="C88" s="12">
        <v>2447.85</v>
      </c>
      <c r="D88" s="12">
        <v>1705.5</v>
      </c>
      <c r="E88" s="12">
        <v>10092.35</v>
      </c>
      <c r="F88" s="12">
        <v>1304.22</v>
      </c>
      <c r="G88" s="12">
        <v>0</v>
      </c>
      <c r="H88" s="12">
        <v>1384.45</v>
      </c>
      <c r="I88" s="12">
        <v>301.01</v>
      </c>
      <c r="J88" s="12">
        <v>1183.81</v>
      </c>
      <c r="K88" s="12">
        <v>0</v>
      </c>
      <c r="L88" s="12">
        <v>0</v>
      </c>
      <c r="M88" s="12">
        <f t="shared" si="2"/>
        <v>18419.189999999999</v>
      </c>
      <c r="N88" s="12">
        <v>1841.92</v>
      </c>
      <c r="O88" s="12">
        <v>1155.8800000000001</v>
      </c>
      <c r="P88" s="12">
        <v>1271</v>
      </c>
      <c r="Q88" s="12">
        <v>2856.2</v>
      </c>
      <c r="R88" s="12">
        <v>4324.3999999999996</v>
      </c>
      <c r="S88" s="12">
        <v>2756.73</v>
      </c>
      <c r="T88" s="12">
        <f t="shared" si="3"/>
        <v>32625.320000000003</v>
      </c>
    </row>
    <row r="89" spans="1:20" x14ac:dyDescent="0.25">
      <c r="A89" s="5" t="s">
        <v>108</v>
      </c>
      <c r="B89" s="18">
        <v>22</v>
      </c>
      <c r="C89" s="12">
        <v>1510.97</v>
      </c>
      <c r="D89" s="12">
        <v>1089.8800000000001</v>
      </c>
      <c r="E89" s="12">
        <v>5551.23</v>
      </c>
      <c r="F89" s="12">
        <v>703</v>
      </c>
      <c r="G89" s="12">
        <v>495.4</v>
      </c>
      <c r="H89" s="12">
        <v>619.05999999999995</v>
      </c>
      <c r="I89" s="12">
        <v>222.93</v>
      </c>
      <c r="J89" s="12">
        <v>780.23</v>
      </c>
      <c r="K89" s="12">
        <v>3.8</v>
      </c>
      <c r="L89" s="12">
        <v>0</v>
      </c>
      <c r="M89" s="12">
        <f t="shared" si="2"/>
        <v>10976.499999999998</v>
      </c>
      <c r="N89" s="12">
        <v>1097.6500000000001</v>
      </c>
      <c r="O89" s="12">
        <v>687.32</v>
      </c>
      <c r="P89" s="12">
        <v>198</v>
      </c>
      <c r="Q89" s="12">
        <v>1672.27</v>
      </c>
      <c r="R89" s="12">
        <v>2552.29</v>
      </c>
      <c r="S89" s="12">
        <v>1606.15</v>
      </c>
      <c r="T89" s="12">
        <f t="shared" si="3"/>
        <v>18790.18</v>
      </c>
    </row>
    <row r="90" spans="1:20" x14ac:dyDescent="0.25">
      <c r="A90" s="5" t="s">
        <v>109</v>
      </c>
      <c r="B90" s="18">
        <v>92</v>
      </c>
      <c r="C90" s="12">
        <v>6584.7</v>
      </c>
      <c r="D90" s="12">
        <v>3730.46</v>
      </c>
      <c r="E90" s="12">
        <v>25927.1</v>
      </c>
      <c r="F90" s="12">
        <v>2855.48</v>
      </c>
      <c r="G90" s="12">
        <v>2598.09</v>
      </c>
      <c r="H90" s="12">
        <v>2062.84</v>
      </c>
      <c r="I90" s="12">
        <v>0</v>
      </c>
      <c r="J90" s="12">
        <v>2944.1</v>
      </c>
      <c r="K90" s="12">
        <v>4377.8</v>
      </c>
      <c r="L90" s="12">
        <v>0</v>
      </c>
      <c r="M90" s="12">
        <f t="shared" si="2"/>
        <v>51080.57</v>
      </c>
      <c r="N90" s="12">
        <v>5108.0600000000004</v>
      </c>
      <c r="O90" s="12">
        <v>3182.58</v>
      </c>
      <c r="P90" s="12">
        <v>460</v>
      </c>
      <c r="Q90" s="12">
        <v>7462.97</v>
      </c>
      <c r="R90" s="12">
        <v>12058.24</v>
      </c>
      <c r="S90" s="12">
        <v>7317.12</v>
      </c>
      <c r="T90" s="12">
        <f t="shared" si="3"/>
        <v>86669.54</v>
      </c>
    </row>
    <row r="91" spans="1:20" x14ac:dyDescent="0.25">
      <c r="A91" s="5" t="s">
        <v>110</v>
      </c>
      <c r="B91" s="18">
        <v>48</v>
      </c>
      <c r="C91" s="12">
        <v>2663.26</v>
      </c>
      <c r="D91" s="12">
        <v>1309.8</v>
      </c>
      <c r="E91" s="12">
        <v>10762.21</v>
      </c>
      <c r="F91" s="12">
        <v>1724.59</v>
      </c>
      <c r="G91" s="12">
        <v>2183</v>
      </c>
      <c r="H91" s="12">
        <v>2488.62</v>
      </c>
      <c r="I91" s="12">
        <v>392.94</v>
      </c>
      <c r="J91" s="12">
        <v>1593.61</v>
      </c>
      <c r="K91" s="12">
        <v>27.38</v>
      </c>
      <c r="L91" s="12">
        <v>0</v>
      </c>
      <c r="M91" s="12">
        <f t="shared" si="2"/>
        <v>23145.41</v>
      </c>
      <c r="N91" s="12">
        <v>2314.61</v>
      </c>
      <c r="O91" s="12">
        <v>1451.41</v>
      </c>
      <c r="P91" s="12">
        <v>0</v>
      </c>
      <c r="Q91" s="12">
        <v>3568.78</v>
      </c>
      <c r="R91" s="12">
        <v>5382.26</v>
      </c>
      <c r="S91" s="12">
        <v>3151.2</v>
      </c>
      <c r="T91" s="12">
        <f t="shared" si="3"/>
        <v>39013.67</v>
      </c>
    </row>
    <row r="92" spans="1:20" x14ac:dyDescent="0.25">
      <c r="A92" s="5" t="s">
        <v>111</v>
      </c>
      <c r="B92" s="18">
        <v>98</v>
      </c>
      <c r="C92" s="12">
        <v>6803.21</v>
      </c>
      <c r="D92" s="12">
        <v>5676.59</v>
      </c>
      <c r="E92" s="12">
        <v>27675.06</v>
      </c>
      <c r="F92" s="12">
        <v>4346.49</v>
      </c>
      <c r="G92" s="12">
        <v>1002.36</v>
      </c>
      <c r="H92" s="12">
        <v>1002.36</v>
      </c>
      <c r="I92" s="12">
        <v>288.95</v>
      </c>
      <c r="J92" s="12">
        <v>0</v>
      </c>
      <c r="K92" s="12">
        <v>4.21</v>
      </c>
      <c r="L92" s="12">
        <f>276.84+501.09+0.2</f>
        <v>778.13</v>
      </c>
      <c r="M92" s="12">
        <f t="shared" si="2"/>
        <v>47577.359999999993</v>
      </c>
      <c r="N92" s="12">
        <v>4757.74</v>
      </c>
      <c r="O92" s="12">
        <v>2963.48</v>
      </c>
      <c r="P92" s="12">
        <v>294</v>
      </c>
      <c r="Q92" s="12">
        <v>6934.4</v>
      </c>
      <c r="R92" s="12">
        <v>11157.72</v>
      </c>
      <c r="S92" s="12">
        <v>6999.86</v>
      </c>
      <c r="T92" s="12">
        <f t="shared" si="3"/>
        <v>80684.56</v>
      </c>
    </row>
    <row r="93" spans="1:20" x14ac:dyDescent="0.25">
      <c r="A93" s="5" t="s">
        <v>112</v>
      </c>
      <c r="B93" s="18">
        <v>112</v>
      </c>
      <c r="C93" s="12">
        <v>10888.85</v>
      </c>
      <c r="D93" s="12">
        <v>12787.94</v>
      </c>
      <c r="E93" s="12">
        <v>37290.82</v>
      </c>
      <c r="F93" s="12">
        <v>7058.41</v>
      </c>
      <c r="G93" s="12">
        <v>0</v>
      </c>
      <c r="H93" s="12">
        <v>892.79</v>
      </c>
      <c r="I93" s="12">
        <v>441.82</v>
      </c>
      <c r="J93" s="12">
        <v>0</v>
      </c>
      <c r="K93" s="12">
        <v>3486.88</v>
      </c>
      <c r="L93" s="12">
        <v>0</v>
      </c>
      <c r="M93" s="12">
        <f t="shared" si="2"/>
        <v>72847.510000000009</v>
      </c>
      <c r="N93" s="12">
        <v>7284.7</v>
      </c>
      <c r="O93" s="12">
        <v>4529.2700000000004</v>
      </c>
      <c r="P93" s="12">
        <v>1332</v>
      </c>
      <c r="Q93" s="12">
        <v>10453.280000000001</v>
      </c>
      <c r="R93" s="12">
        <v>17156.87</v>
      </c>
      <c r="S93" s="12">
        <v>13282.13</v>
      </c>
      <c r="T93" s="12">
        <f t="shared" si="3"/>
        <v>126885.76000000001</v>
      </c>
    </row>
    <row r="94" spans="1:20" x14ac:dyDescent="0.25">
      <c r="A94" s="5" t="s">
        <v>113</v>
      </c>
      <c r="B94" s="18">
        <v>16</v>
      </c>
      <c r="C94" s="12">
        <v>1134.81</v>
      </c>
      <c r="D94" s="12">
        <v>1237.1199999999999</v>
      </c>
      <c r="E94" s="12">
        <v>3571.85</v>
      </c>
      <c r="F94" s="12">
        <v>548.79999999999995</v>
      </c>
      <c r="G94" s="12">
        <v>372.07</v>
      </c>
      <c r="H94" s="12">
        <v>0</v>
      </c>
      <c r="I94" s="12">
        <v>0</v>
      </c>
      <c r="J94" s="12">
        <v>0</v>
      </c>
      <c r="K94" s="12">
        <v>446.87</v>
      </c>
      <c r="L94" s="12">
        <v>0</v>
      </c>
      <c r="M94" s="12">
        <f t="shared" si="2"/>
        <v>7311.5199999999995</v>
      </c>
      <c r="N94" s="12">
        <v>731.15</v>
      </c>
      <c r="O94" s="12">
        <v>366.51</v>
      </c>
      <c r="P94" s="12">
        <v>96</v>
      </c>
      <c r="Q94" s="12">
        <v>1120.28</v>
      </c>
      <c r="R94" s="12">
        <v>1681.85</v>
      </c>
      <c r="S94" s="12">
        <v>1080.93</v>
      </c>
      <c r="T94" s="12">
        <f t="shared" si="3"/>
        <v>12388.24</v>
      </c>
    </row>
    <row r="95" spans="1:20" x14ac:dyDescent="0.25">
      <c r="A95" s="5" t="s">
        <v>114</v>
      </c>
      <c r="B95" s="18">
        <v>104</v>
      </c>
      <c r="C95" s="12">
        <v>3435.49</v>
      </c>
      <c r="D95" s="12">
        <v>1842.57</v>
      </c>
      <c r="E95" s="12">
        <v>12582.82</v>
      </c>
      <c r="F95" s="12">
        <v>1924.82</v>
      </c>
      <c r="G95" s="12">
        <v>977.02</v>
      </c>
      <c r="H95" s="12">
        <v>641.87</v>
      </c>
      <c r="I95" s="12">
        <v>166.78</v>
      </c>
      <c r="J95" s="12">
        <v>0</v>
      </c>
      <c r="K95" s="12">
        <v>17.14</v>
      </c>
      <c r="L95" s="12">
        <v>7.51</v>
      </c>
      <c r="M95" s="12">
        <f t="shared" si="2"/>
        <v>21596.019999999993</v>
      </c>
      <c r="N95" s="12">
        <v>2159.6</v>
      </c>
      <c r="O95" s="12">
        <v>1343.2</v>
      </c>
      <c r="P95" s="12">
        <v>520</v>
      </c>
      <c r="Q95" s="12">
        <v>3108.42</v>
      </c>
      <c r="R95" s="12">
        <v>5019.76</v>
      </c>
      <c r="S95" s="12">
        <v>4069.88</v>
      </c>
      <c r="T95" s="12">
        <f>SUM(M95:S95)</f>
        <v>37816.87999999999</v>
      </c>
    </row>
    <row r="96" spans="1:20" x14ac:dyDescent="0.25">
      <c r="A96" s="5" t="s">
        <v>115</v>
      </c>
      <c r="B96" s="18">
        <v>171</v>
      </c>
      <c r="C96" s="12">
        <v>24413.73</v>
      </c>
      <c r="D96" s="12">
        <v>17160.38</v>
      </c>
      <c r="E96" s="12">
        <v>88251.38</v>
      </c>
      <c r="F96" s="12">
        <v>5742.06</v>
      </c>
      <c r="G96" s="12">
        <v>3798.83</v>
      </c>
      <c r="H96" s="12">
        <v>0</v>
      </c>
      <c r="I96" s="12">
        <v>0</v>
      </c>
      <c r="J96" s="12">
        <v>9006.93</v>
      </c>
      <c r="K96" s="12">
        <v>18616.5</v>
      </c>
      <c r="L96" s="12">
        <f>42540.18+331.89</f>
        <v>42872.07</v>
      </c>
      <c r="M96" s="12">
        <f t="shared" si="2"/>
        <v>209861.88</v>
      </c>
      <c r="N96" s="12">
        <v>20986.2</v>
      </c>
      <c r="O96" s="12">
        <v>12937.3</v>
      </c>
      <c r="P96" s="12">
        <v>1710</v>
      </c>
      <c r="Q96" s="12">
        <v>27897.99</v>
      </c>
      <c r="R96" s="12">
        <v>49099.08</v>
      </c>
      <c r="S96" s="12">
        <v>26943.54</v>
      </c>
      <c r="T96" s="12">
        <f t="shared" si="3"/>
        <v>349435.99</v>
      </c>
    </row>
    <row r="97" spans="1:20" x14ac:dyDescent="0.25">
      <c r="A97" s="5" t="s">
        <v>156</v>
      </c>
      <c r="B97" s="18">
        <v>56</v>
      </c>
      <c r="C97" s="12">
        <v>3120.38</v>
      </c>
      <c r="D97" s="12">
        <v>3015.41</v>
      </c>
      <c r="E97" s="12">
        <v>14435.37</v>
      </c>
      <c r="F97" s="12">
        <v>2938.77</v>
      </c>
      <c r="G97" s="12">
        <v>1430.03</v>
      </c>
      <c r="H97" s="12">
        <v>1050.75</v>
      </c>
      <c r="I97" s="12">
        <v>408.33</v>
      </c>
      <c r="J97" s="12">
        <v>0</v>
      </c>
      <c r="K97" s="12">
        <v>1960</v>
      </c>
      <c r="L97" s="12">
        <v>0</v>
      </c>
      <c r="M97" s="12">
        <f t="shared" si="2"/>
        <v>28359.040000000001</v>
      </c>
      <c r="N97" s="12">
        <v>2835.9</v>
      </c>
      <c r="O97" s="12">
        <v>0</v>
      </c>
      <c r="P97" s="12">
        <v>840</v>
      </c>
      <c r="Q97" s="12">
        <v>4244.21</v>
      </c>
      <c r="R97" s="12">
        <v>6661.98</v>
      </c>
      <c r="S97" s="12">
        <f>840+3260.96</f>
        <v>4100.96</v>
      </c>
      <c r="T97" s="12">
        <f t="shared" si="3"/>
        <v>47042.090000000004</v>
      </c>
    </row>
    <row r="98" spans="1:20" x14ac:dyDescent="0.25">
      <c r="A98" s="5" t="s">
        <v>116</v>
      </c>
      <c r="B98" s="18">
        <v>24</v>
      </c>
      <c r="C98" s="12">
        <v>1755.34</v>
      </c>
      <c r="D98" s="12">
        <v>2158.1999999999998</v>
      </c>
      <c r="E98" s="12">
        <v>6440.09</v>
      </c>
      <c r="F98" s="12">
        <v>2302.08</v>
      </c>
      <c r="G98" s="12">
        <v>719.4</v>
      </c>
      <c r="H98" s="12">
        <v>1999.95</v>
      </c>
      <c r="I98" s="12">
        <v>820.13</v>
      </c>
      <c r="J98" s="12">
        <v>0</v>
      </c>
      <c r="K98" s="12">
        <v>0</v>
      </c>
      <c r="L98" s="12">
        <v>106.53</v>
      </c>
      <c r="M98" s="12">
        <f t="shared" si="2"/>
        <v>16301.720000000001</v>
      </c>
      <c r="N98" s="12">
        <v>1630.19</v>
      </c>
      <c r="O98" s="12">
        <v>228.95</v>
      </c>
      <c r="P98" s="12">
        <v>312</v>
      </c>
      <c r="Q98" s="12">
        <v>4140.28</v>
      </c>
      <c r="R98" s="12">
        <v>3350.64</v>
      </c>
      <c r="S98" s="12">
        <v>1569.82</v>
      </c>
      <c r="T98" s="12">
        <f t="shared" si="3"/>
        <v>27533.599999999999</v>
      </c>
    </row>
    <row r="99" spans="1:20" x14ac:dyDescent="0.25">
      <c r="A99" s="5" t="s">
        <v>117</v>
      </c>
      <c r="B99" s="18">
        <v>54</v>
      </c>
      <c r="C99" s="12">
        <v>3981.01</v>
      </c>
      <c r="D99" s="12">
        <v>5155.7299999999996</v>
      </c>
      <c r="E99" s="12">
        <v>19774.509999999998</v>
      </c>
      <c r="F99" s="12">
        <v>2969.45</v>
      </c>
      <c r="G99" s="12">
        <v>1892.61</v>
      </c>
      <c r="H99" s="12">
        <v>1533.67</v>
      </c>
      <c r="I99" s="12">
        <v>424.22</v>
      </c>
      <c r="J99" s="12">
        <v>2995.12</v>
      </c>
      <c r="K99" s="12">
        <v>427</v>
      </c>
      <c r="L99" s="12">
        <v>848.42</v>
      </c>
      <c r="M99" s="12">
        <f t="shared" si="2"/>
        <v>40001.74</v>
      </c>
      <c r="N99" s="12">
        <v>4000.18</v>
      </c>
      <c r="O99" s="12">
        <v>1999.34</v>
      </c>
      <c r="P99" s="12">
        <v>0</v>
      </c>
      <c r="Q99" s="12">
        <f>4400.17+1583.19</f>
        <v>5983.3600000000006</v>
      </c>
      <c r="R99" s="12">
        <f>9200.27+24.3</f>
        <v>9224.57</v>
      </c>
      <c r="S99" s="12">
        <f>540+4600.18</f>
        <v>5140.18</v>
      </c>
      <c r="T99" s="12">
        <f t="shared" si="3"/>
        <v>66349.37</v>
      </c>
    </row>
    <row r="100" spans="1:20" x14ac:dyDescent="0.25">
      <c r="A100" s="5" t="s">
        <v>118</v>
      </c>
      <c r="B100" s="18">
        <v>247</v>
      </c>
      <c r="C100" s="12">
        <v>15190.84</v>
      </c>
      <c r="D100" s="12">
        <v>11851.4</v>
      </c>
      <c r="E100" s="12">
        <v>61250.67</v>
      </c>
      <c r="F100" s="12">
        <v>18382.580000000002</v>
      </c>
      <c r="G100" s="12">
        <v>3844.64</v>
      </c>
      <c r="H100" s="12">
        <v>3455.05</v>
      </c>
      <c r="I100" s="12">
        <v>1104.2</v>
      </c>
      <c r="J100" s="12">
        <v>0</v>
      </c>
      <c r="K100" s="12">
        <v>40.67</v>
      </c>
      <c r="L100" s="12">
        <v>0</v>
      </c>
      <c r="M100" s="12">
        <f t="shared" si="2"/>
        <v>115120.05</v>
      </c>
      <c r="N100" s="12">
        <v>11512.01</v>
      </c>
      <c r="O100" s="12">
        <v>10074.209999999999</v>
      </c>
      <c r="P100" s="12">
        <v>1976</v>
      </c>
      <c r="Q100" s="12">
        <v>17285.28</v>
      </c>
      <c r="R100" s="12">
        <v>28082.240000000002</v>
      </c>
      <c r="S100" s="12">
        <v>17375.63</v>
      </c>
      <c r="T100" s="12">
        <f t="shared" si="3"/>
        <v>201425.41999999998</v>
      </c>
    </row>
    <row r="101" spans="1:20" x14ac:dyDescent="0.25">
      <c r="A101" s="5" t="s">
        <v>119</v>
      </c>
      <c r="B101" s="18">
        <v>296</v>
      </c>
      <c r="C101" s="12">
        <v>16870.400000000001</v>
      </c>
      <c r="D101" s="12">
        <v>17147.02</v>
      </c>
      <c r="E101" s="12">
        <v>65509.48</v>
      </c>
      <c r="F101" s="12">
        <v>12445.39</v>
      </c>
      <c r="G101" s="12">
        <v>8296.94</v>
      </c>
      <c r="H101" s="12">
        <v>3042.18</v>
      </c>
      <c r="I101" s="12">
        <v>553.17999999999995</v>
      </c>
      <c r="J101" s="12">
        <v>0</v>
      </c>
      <c r="K101" s="12">
        <v>72.959999999999994</v>
      </c>
      <c r="L101" s="12">
        <v>15204.52</v>
      </c>
      <c r="M101" s="12">
        <f t="shared" si="2"/>
        <v>139142.06999999998</v>
      </c>
      <c r="N101" s="12">
        <v>13914.33</v>
      </c>
      <c r="O101" s="12">
        <v>12169.13</v>
      </c>
      <c r="P101" s="12">
        <v>2072</v>
      </c>
      <c r="Q101" s="12">
        <v>20788.400000000001</v>
      </c>
      <c r="R101" s="12">
        <v>33637.17</v>
      </c>
      <c r="S101" s="12">
        <v>19482.68</v>
      </c>
      <c r="T101" s="12">
        <f t="shared" si="3"/>
        <v>241205.77999999997</v>
      </c>
    </row>
    <row r="102" spans="1:20" x14ac:dyDescent="0.25">
      <c r="A102" s="5" t="s">
        <v>120</v>
      </c>
      <c r="B102" s="18">
        <v>36</v>
      </c>
      <c r="C102" s="12">
        <v>1860.96</v>
      </c>
      <c r="D102" s="12">
        <v>1494.84</v>
      </c>
      <c r="E102" s="12">
        <v>5308.25</v>
      </c>
      <c r="F102" s="12">
        <v>701.68</v>
      </c>
      <c r="G102" s="12">
        <v>610.15</v>
      </c>
      <c r="H102" s="12">
        <v>457.61</v>
      </c>
      <c r="I102" s="12">
        <v>0</v>
      </c>
      <c r="J102" s="12">
        <v>0</v>
      </c>
      <c r="K102" s="12">
        <v>2.08</v>
      </c>
      <c r="L102" s="12">
        <v>0</v>
      </c>
      <c r="M102" s="12">
        <f t="shared" si="2"/>
        <v>10435.57</v>
      </c>
      <c r="N102" s="12">
        <v>1043.57</v>
      </c>
      <c r="O102" s="12">
        <v>888.24</v>
      </c>
      <c r="P102" s="12">
        <v>0</v>
      </c>
      <c r="Q102" s="12">
        <v>1210.43</v>
      </c>
      <c r="R102" s="12">
        <v>2473.4899999999998</v>
      </c>
      <c r="S102" s="12">
        <v>1596.76</v>
      </c>
      <c r="T102" s="12">
        <f t="shared" si="3"/>
        <v>17648.059999999998</v>
      </c>
    </row>
    <row r="103" spans="1:20" x14ac:dyDescent="0.25">
      <c r="A103" s="5" t="s">
        <v>121</v>
      </c>
      <c r="B103" s="18">
        <v>227</v>
      </c>
      <c r="C103" s="12">
        <v>16833.95</v>
      </c>
      <c r="D103" s="12">
        <v>7037.18</v>
      </c>
      <c r="E103" s="12">
        <v>57305.21</v>
      </c>
      <c r="F103" s="12">
        <v>8692.98</v>
      </c>
      <c r="G103" s="12">
        <v>4139.49</v>
      </c>
      <c r="H103" s="12">
        <v>1931.81</v>
      </c>
      <c r="I103" s="12">
        <v>0</v>
      </c>
      <c r="J103" s="12">
        <v>0</v>
      </c>
      <c r="K103" s="12">
        <v>5.26</v>
      </c>
      <c r="L103" s="12">
        <v>0</v>
      </c>
      <c r="M103" s="12">
        <f t="shared" si="2"/>
        <v>95945.87999999999</v>
      </c>
      <c r="N103" s="12">
        <v>9594.8799999999992</v>
      </c>
      <c r="O103" s="12">
        <v>5981.53</v>
      </c>
      <c r="P103" s="12">
        <v>0</v>
      </c>
      <c r="Q103" s="12">
        <v>14095.68</v>
      </c>
      <c r="R103" s="12">
        <v>22758.55</v>
      </c>
      <c r="S103" s="12">
        <v>18189.400000000001</v>
      </c>
      <c r="T103" s="12">
        <f t="shared" si="3"/>
        <v>166565.91999999998</v>
      </c>
    </row>
    <row r="104" spans="1:20" x14ac:dyDescent="0.25">
      <c r="A104" s="5" t="s">
        <v>122</v>
      </c>
      <c r="B104" s="18">
        <v>13</v>
      </c>
      <c r="C104" s="12">
        <v>526.82000000000005</v>
      </c>
      <c r="D104" s="12">
        <v>552.72</v>
      </c>
      <c r="E104" s="12">
        <v>2457</v>
      </c>
      <c r="F104" s="12">
        <v>626.14</v>
      </c>
      <c r="G104" s="12">
        <v>172.72</v>
      </c>
      <c r="H104" s="12">
        <v>591.57000000000005</v>
      </c>
      <c r="I104" s="12">
        <v>56.15</v>
      </c>
      <c r="J104" s="12">
        <v>0</v>
      </c>
      <c r="K104" s="12">
        <v>0</v>
      </c>
      <c r="L104" s="12">
        <v>0</v>
      </c>
      <c r="M104" s="12">
        <f t="shared" si="2"/>
        <v>4983.12</v>
      </c>
      <c r="N104" s="12">
        <v>498.32</v>
      </c>
      <c r="O104" s="12">
        <v>312.77999999999997</v>
      </c>
      <c r="P104" s="12">
        <v>130</v>
      </c>
      <c r="Q104" s="12">
        <v>774.31</v>
      </c>
      <c r="R104" s="12">
        <v>1184.8399999999999</v>
      </c>
      <c r="S104" s="12">
        <v>709.41</v>
      </c>
      <c r="T104" s="12">
        <f t="shared" si="3"/>
        <v>8592.7799999999988</v>
      </c>
    </row>
    <row r="105" spans="1:20" x14ac:dyDescent="0.25">
      <c r="A105" s="5" t="s">
        <v>123</v>
      </c>
      <c r="B105" s="18">
        <v>58</v>
      </c>
      <c r="C105" s="12">
        <v>3896.55</v>
      </c>
      <c r="D105" s="12">
        <v>2491.25</v>
      </c>
      <c r="E105" s="12">
        <v>12743.68</v>
      </c>
      <c r="F105" s="12">
        <v>1565.03</v>
      </c>
      <c r="G105" s="12">
        <v>1277.56</v>
      </c>
      <c r="H105" s="12">
        <v>1085.94</v>
      </c>
      <c r="I105" s="12">
        <v>287.47000000000003</v>
      </c>
      <c r="J105" s="12">
        <v>0</v>
      </c>
      <c r="K105" s="12">
        <v>7.1</v>
      </c>
      <c r="L105" s="12">
        <v>0</v>
      </c>
      <c r="M105" s="12">
        <f t="shared" si="2"/>
        <v>23354.579999999998</v>
      </c>
      <c r="N105" s="12">
        <v>2335.5300000000002</v>
      </c>
      <c r="O105" s="12">
        <v>1465.82</v>
      </c>
      <c r="P105" s="12">
        <v>232</v>
      </c>
      <c r="Q105" s="12">
        <v>3625.78</v>
      </c>
      <c r="R105" s="12">
        <v>5431.25</v>
      </c>
      <c r="S105" s="12">
        <v>3295.63</v>
      </c>
      <c r="T105" s="12">
        <f t="shared" si="3"/>
        <v>39740.589999999989</v>
      </c>
    </row>
    <row r="106" spans="1:20" x14ac:dyDescent="0.25">
      <c r="A106" s="5" t="s">
        <v>124</v>
      </c>
      <c r="B106" s="18">
        <v>101</v>
      </c>
      <c r="C106" s="12">
        <v>9479.2000000000007</v>
      </c>
      <c r="D106" s="12">
        <v>4993.1899999999996</v>
      </c>
      <c r="E106" s="12">
        <v>39615.29</v>
      </c>
      <c r="F106" s="12">
        <v>6396.14</v>
      </c>
      <c r="G106" s="12">
        <v>3389.67</v>
      </c>
      <c r="H106" s="12">
        <v>0</v>
      </c>
      <c r="I106" s="12">
        <v>0</v>
      </c>
      <c r="J106" s="12">
        <v>0</v>
      </c>
      <c r="K106" s="12">
        <v>3.95</v>
      </c>
      <c r="L106" s="12">
        <v>0</v>
      </c>
      <c r="M106" s="12">
        <f t="shared" si="2"/>
        <v>63877.439999999995</v>
      </c>
      <c r="N106" s="12">
        <v>6387.75</v>
      </c>
      <c r="O106" s="12">
        <v>4008.38</v>
      </c>
      <c r="P106" s="12">
        <v>606</v>
      </c>
      <c r="Q106" s="12">
        <v>9902.4699999999993</v>
      </c>
      <c r="R106" s="12">
        <v>14955.71</v>
      </c>
      <c r="S106" s="12">
        <v>8942.36</v>
      </c>
      <c r="T106" s="12">
        <f t="shared" si="3"/>
        <v>108680.11</v>
      </c>
    </row>
    <row r="107" spans="1:20" x14ac:dyDescent="0.25">
      <c r="A107" s="5" t="s">
        <v>125</v>
      </c>
      <c r="B107" s="18">
        <v>86</v>
      </c>
      <c r="C107" s="12">
        <v>4275.2</v>
      </c>
      <c r="D107" s="12">
        <v>2347.86</v>
      </c>
      <c r="E107" s="12">
        <v>17030.61</v>
      </c>
      <c r="F107" s="12">
        <v>1611.91</v>
      </c>
      <c r="G107" s="12">
        <v>1577.03</v>
      </c>
      <c r="H107" s="12">
        <v>876.18</v>
      </c>
      <c r="I107" s="12">
        <v>315.41000000000003</v>
      </c>
      <c r="J107" s="12">
        <v>1927.46</v>
      </c>
      <c r="K107" s="12">
        <v>18.52</v>
      </c>
      <c r="L107" s="12">
        <v>2312.79</v>
      </c>
      <c r="M107" s="12">
        <f t="shared" si="2"/>
        <v>32292.969999999998</v>
      </c>
      <c r="N107" s="12">
        <v>3229.41</v>
      </c>
      <c r="O107" s="12">
        <v>2056.75</v>
      </c>
      <c r="P107" s="12">
        <v>602</v>
      </c>
      <c r="Q107" s="12">
        <v>5053.8100000000004</v>
      </c>
      <c r="R107" s="12">
        <v>7680.82</v>
      </c>
      <c r="S107" s="12">
        <v>4617.87</v>
      </c>
      <c r="T107" s="12">
        <f t="shared" si="3"/>
        <v>55533.63</v>
      </c>
    </row>
    <row r="108" spans="1:20" x14ac:dyDescent="0.25">
      <c r="A108" s="5" t="s">
        <v>126</v>
      </c>
      <c r="B108" s="18">
        <v>241</v>
      </c>
      <c r="C108" s="12">
        <v>33908.129999999997</v>
      </c>
      <c r="D108" s="12">
        <v>18814.59</v>
      </c>
      <c r="E108" s="12">
        <v>120850.61</v>
      </c>
      <c r="F108" s="12">
        <v>18413.150000000001</v>
      </c>
      <c r="G108" s="12">
        <v>6175.43</v>
      </c>
      <c r="H108" s="12">
        <v>4770.2700000000004</v>
      </c>
      <c r="I108" s="12">
        <v>0</v>
      </c>
      <c r="J108" s="12">
        <v>0</v>
      </c>
      <c r="K108" s="12">
        <v>0</v>
      </c>
      <c r="L108" s="12">
        <v>0</v>
      </c>
      <c r="M108" s="12">
        <f t="shared" si="2"/>
        <v>202932.18</v>
      </c>
      <c r="N108" s="12">
        <v>20293.22</v>
      </c>
      <c r="O108" s="12">
        <v>12655.21</v>
      </c>
      <c r="P108" s="12">
        <v>2651</v>
      </c>
      <c r="Q108" s="12">
        <v>29878.720000000001</v>
      </c>
      <c r="R108" s="12">
        <v>47176.12</v>
      </c>
      <c r="S108" s="12">
        <v>27203.06</v>
      </c>
      <c r="T108" s="12">
        <f t="shared" si="3"/>
        <v>342789.50999999995</v>
      </c>
    </row>
    <row r="109" spans="1:20" x14ac:dyDescent="0.25">
      <c r="A109" s="5" t="s">
        <v>127</v>
      </c>
      <c r="B109" s="18">
        <v>141</v>
      </c>
      <c r="C109" s="12">
        <v>19065.88</v>
      </c>
      <c r="D109" s="12">
        <v>17190.13</v>
      </c>
      <c r="E109" s="12">
        <v>108904.7</v>
      </c>
      <c r="F109" s="12">
        <v>5317.55</v>
      </c>
      <c r="G109" s="12">
        <v>5860.15</v>
      </c>
      <c r="H109" s="12">
        <v>3234.5</v>
      </c>
      <c r="I109" s="12">
        <v>1562.17</v>
      </c>
      <c r="J109" s="12">
        <v>0</v>
      </c>
      <c r="K109" s="12">
        <v>9583.93</v>
      </c>
      <c r="L109" s="12">
        <f>5469.65+25.31</f>
        <v>5494.96</v>
      </c>
      <c r="M109" s="12">
        <f t="shared" si="2"/>
        <v>176213.96999999997</v>
      </c>
      <c r="N109" s="12">
        <v>17621.400000000001</v>
      </c>
      <c r="O109" s="12">
        <v>10882.98</v>
      </c>
      <c r="P109" s="12">
        <v>1410</v>
      </c>
      <c r="Q109" s="12">
        <v>23824.31</v>
      </c>
      <c r="R109" s="12">
        <v>41225.67</v>
      </c>
      <c r="S109" s="12">
        <v>22586.84</v>
      </c>
      <c r="T109" s="12">
        <f t="shared" si="3"/>
        <v>293765.17</v>
      </c>
    </row>
    <row r="110" spans="1:20" x14ac:dyDescent="0.25">
      <c r="A110" s="5" t="s">
        <v>128</v>
      </c>
      <c r="B110" s="18">
        <v>66</v>
      </c>
      <c r="C110" s="12">
        <v>7065.12</v>
      </c>
      <c r="D110" s="12">
        <v>5856.17</v>
      </c>
      <c r="E110" s="12">
        <v>26115.34</v>
      </c>
      <c r="F110" s="12">
        <v>2916.43</v>
      </c>
      <c r="G110" s="12">
        <v>0</v>
      </c>
      <c r="H110" s="12">
        <v>1129.81</v>
      </c>
      <c r="I110" s="12">
        <v>0</v>
      </c>
      <c r="J110" s="12">
        <v>2244.73</v>
      </c>
      <c r="K110" s="12">
        <v>0</v>
      </c>
      <c r="L110" s="12">
        <v>88.52</v>
      </c>
      <c r="M110" s="12">
        <f t="shared" si="2"/>
        <v>45416.12</v>
      </c>
      <c r="N110" s="12">
        <v>4541.6099999999997</v>
      </c>
      <c r="O110" s="12">
        <v>2835.45</v>
      </c>
      <c r="P110" s="12">
        <v>660</v>
      </c>
      <c r="Q110" s="12">
        <v>6751.29</v>
      </c>
      <c r="R110" s="12">
        <v>10690.64</v>
      </c>
      <c r="S110" s="12">
        <v>6269.32</v>
      </c>
      <c r="T110" s="12">
        <f t="shared" si="3"/>
        <v>77164.429999999993</v>
      </c>
    </row>
    <row r="111" spans="1:20" x14ac:dyDescent="0.25">
      <c r="A111" s="5" t="s">
        <v>129</v>
      </c>
      <c r="B111" s="18">
        <v>67</v>
      </c>
      <c r="C111" s="12">
        <v>5894.01</v>
      </c>
      <c r="D111" s="12">
        <v>4251.3999999999996</v>
      </c>
      <c r="E111" s="12">
        <v>28020.66</v>
      </c>
      <c r="F111" s="12">
        <v>2029.09</v>
      </c>
      <c r="G111" s="12">
        <v>1932.46</v>
      </c>
      <c r="H111" s="12">
        <v>1657.11</v>
      </c>
      <c r="I111" s="12">
        <v>420.31</v>
      </c>
      <c r="J111" s="12">
        <v>0</v>
      </c>
      <c r="K111" s="12">
        <f>1.5+2158.37</f>
        <v>2159.87</v>
      </c>
      <c r="L111" s="12">
        <v>45.64</v>
      </c>
      <c r="M111" s="12">
        <f t="shared" si="2"/>
        <v>46410.549999999996</v>
      </c>
      <c r="N111" s="12">
        <v>4641.0600000000004</v>
      </c>
      <c r="O111" s="12">
        <v>2315.6999999999998</v>
      </c>
      <c r="P111" s="12">
        <v>201</v>
      </c>
      <c r="Q111" s="12">
        <v>6840.92</v>
      </c>
      <c r="R111" s="12">
        <v>10673.46</v>
      </c>
      <c r="S111" s="12">
        <v>6341.73</v>
      </c>
      <c r="T111" s="12">
        <f t="shared" si="3"/>
        <v>77424.419999999984</v>
      </c>
    </row>
    <row r="112" spans="1:20" x14ac:dyDescent="0.25">
      <c r="A112" s="5" t="s">
        <v>130</v>
      </c>
      <c r="B112" s="18">
        <v>53</v>
      </c>
      <c r="C112" s="12">
        <v>3734.14</v>
      </c>
      <c r="D112" s="12">
        <v>2295.59</v>
      </c>
      <c r="E112" s="12">
        <v>6006.42</v>
      </c>
      <c r="F112" s="12">
        <v>1499.79</v>
      </c>
      <c r="G112" s="12">
        <v>1224.3</v>
      </c>
      <c r="H112" s="12">
        <v>918.25</v>
      </c>
      <c r="I112" s="12">
        <v>0</v>
      </c>
      <c r="J112" s="12">
        <v>0</v>
      </c>
      <c r="K112" s="12">
        <v>9.08</v>
      </c>
      <c r="L112" s="12">
        <v>2295.59</v>
      </c>
      <c r="M112" s="12">
        <f t="shared" si="2"/>
        <v>17983.159999999996</v>
      </c>
      <c r="N112" s="12">
        <v>1798.32</v>
      </c>
      <c r="O112" s="12">
        <v>1126.17</v>
      </c>
      <c r="P112" s="12">
        <v>0</v>
      </c>
      <c r="Q112" s="12">
        <v>2742.63</v>
      </c>
      <c r="R112" s="12">
        <v>4181.49</v>
      </c>
      <c r="S112" s="12">
        <v>2620.77</v>
      </c>
      <c r="T112" s="12">
        <f>SUM(M112:S112)</f>
        <v>30452.539999999997</v>
      </c>
    </row>
    <row r="113" spans="1:20" x14ac:dyDescent="0.25">
      <c r="A113" s="5" t="s">
        <v>173</v>
      </c>
      <c r="B113" s="18">
        <v>42</v>
      </c>
      <c r="C113" s="12">
        <v>2599.09</v>
      </c>
      <c r="D113" s="12">
        <v>2361.1</v>
      </c>
      <c r="E113" s="12">
        <v>7967.7</v>
      </c>
      <c r="F113" s="12">
        <v>852.15</v>
      </c>
      <c r="G113" s="12">
        <v>958.78</v>
      </c>
      <c r="H113" s="12">
        <v>677.35</v>
      </c>
      <c r="I113" s="12">
        <v>213.05</v>
      </c>
      <c r="J113" s="12">
        <v>0</v>
      </c>
      <c r="K113" s="12">
        <v>1.94</v>
      </c>
      <c r="L113" s="12">
        <f>18.23+48.45</f>
        <v>66.680000000000007</v>
      </c>
      <c r="M113" s="12">
        <f t="shared" si="2"/>
        <v>15697.84</v>
      </c>
      <c r="N113" s="12">
        <v>0</v>
      </c>
      <c r="O113" s="12">
        <v>0</v>
      </c>
      <c r="P113" s="12">
        <v>0</v>
      </c>
      <c r="Q113" s="12">
        <v>2306.89</v>
      </c>
      <c r="R113" s="12">
        <v>3675.09</v>
      </c>
      <c r="S113" s="12">
        <v>3573.58</v>
      </c>
      <c r="T113" s="12">
        <f t="shared" si="3"/>
        <v>25253.4</v>
      </c>
    </row>
    <row r="114" spans="1:20" x14ac:dyDescent="0.25">
      <c r="A114" s="5" t="s">
        <v>132</v>
      </c>
      <c r="B114" s="18">
        <v>29</v>
      </c>
      <c r="C114" s="12">
        <v>1783.82</v>
      </c>
      <c r="D114" s="12">
        <v>1169.71</v>
      </c>
      <c r="E114" s="12">
        <v>6930.55</v>
      </c>
      <c r="F114" s="12">
        <v>497.12</v>
      </c>
      <c r="G114" s="12">
        <v>0</v>
      </c>
      <c r="H114" s="12">
        <v>0</v>
      </c>
      <c r="I114" s="12">
        <v>0</v>
      </c>
      <c r="J114" s="12">
        <v>0</v>
      </c>
      <c r="K114" s="12">
        <v>480</v>
      </c>
      <c r="L114" s="12">
        <v>1169.71</v>
      </c>
      <c r="M114" s="12">
        <f t="shared" si="2"/>
        <v>12030.91</v>
      </c>
      <c r="N114" s="12">
        <v>1203.0999999999999</v>
      </c>
      <c r="O114" s="12">
        <v>754.99</v>
      </c>
      <c r="P114" s="12">
        <v>203</v>
      </c>
      <c r="Q114" s="12">
        <v>1866.02</v>
      </c>
      <c r="R114" s="12">
        <v>2855.8</v>
      </c>
      <c r="S114" s="12">
        <v>1688.92</v>
      </c>
      <c r="T114" s="12">
        <f t="shared" si="3"/>
        <v>20602.739999999998</v>
      </c>
    </row>
    <row r="115" spans="1:20" x14ac:dyDescent="0.25">
      <c r="A115" s="5" t="s">
        <v>133</v>
      </c>
      <c r="B115" s="18">
        <v>59</v>
      </c>
      <c r="C115" s="12">
        <v>6673.04</v>
      </c>
      <c r="D115" s="12">
        <v>3937.73</v>
      </c>
      <c r="E115" s="12">
        <v>33355.18</v>
      </c>
      <c r="F115" s="12">
        <v>6504.71</v>
      </c>
      <c r="G115" s="12">
        <v>2187.66</v>
      </c>
      <c r="H115" s="12">
        <v>2296.69</v>
      </c>
      <c r="I115" s="12">
        <v>0</v>
      </c>
      <c r="J115" s="12">
        <v>0</v>
      </c>
      <c r="K115" s="12">
        <v>5.64</v>
      </c>
      <c r="L115" s="12">
        <v>229.71</v>
      </c>
      <c r="M115" s="12">
        <f t="shared" si="2"/>
        <v>55190.359999999993</v>
      </c>
      <c r="N115" s="12">
        <v>5519.04</v>
      </c>
      <c r="O115" s="12">
        <v>2770.72</v>
      </c>
      <c r="P115" s="12">
        <v>236</v>
      </c>
      <c r="Q115" s="12">
        <v>8558.57</v>
      </c>
      <c r="R115" s="12">
        <v>12696.02</v>
      </c>
      <c r="S115" s="12">
        <v>7233.01</v>
      </c>
      <c r="T115" s="12">
        <f t="shared" si="3"/>
        <v>92203.72</v>
      </c>
    </row>
    <row r="116" spans="1:20" x14ac:dyDescent="0.25">
      <c r="A116" s="5" t="s">
        <v>134</v>
      </c>
      <c r="B116" s="18">
        <v>11</v>
      </c>
      <c r="C116" s="12">
        <v>1718.13</v>
      </c>
      <c r="D116" s="12">
        <v>1356.49</v>
      </c>
      <c r="E116" s="12">
        <v>7681.84</v>
      </c>
      <c r="F116" s="12">
        <v>1038.97</v>
      </c>
      <c r="G116" s="12">
        <v>353.66</v>
      </c>
      <c r="H116" s="12">
        <v>519.01</v>
      </c>
      <c r="I116" s="12">
        <v>0</v>
      </c>
      <c r="J116" s="12">
        <v>0</v>
      </c>
      <c r="K116" s="12">
        <v>0</v>
      </c>
      <c r="L116" s="12">
        <v>0</v>
      </c>
      <c r="M116" s="12">
        <f t="shared" si="2"/>
        <v>12668.099999999999</v>
      </c>
      <c r="N116" s="12">
        <v>1266.81</v>
      </c>
      <c r="O116" s="12">
        <v>1147.19</v>
      </c>
      <c r="P116" s="12">
        <v>66</v>
      </c>
      <c r="Q116" s="12">
        <v>1946.12</v>
      </c>
      <c r="R116" s="12">
        <v>3363.55</v>
      </c>
      <c r="S116" s="12">
        <v>1836.75</v>
      </c>
      <c r="T116" s="12">
        <f t="shared" si="3"/>
        <v>22294.519999999997</v>
      </c>
    </row>
    <row r="117" spans="1:20" x14ac:dyDescent="0.25">
      <c r="A117" s="5" t="s">
        <v>135</v>
      </c>
      <c r="B117" s="18">
        <v>140</v>
      </c>
      <c r="C117" s="12">
        <v>23695.83</v>
      </c>
      <c r="D117" s="12">
        <v>28155.03</v>
      </c>
      <c r="E117" s="12">
        <v>64743.22</v>
      </c>
      <c r="F117" s="12">
        <v>8344.58</v>
      </c>
      <c r="G117" s="12">
        <v>3881.15</v>
      </c>
      <c r="H117" s="12">
        <v>1164.3599999999999</v>
      </c>
      <c r="I117" s="12">
        <v>582.82000000000005</v>
      </c>
      <c r="J117" s="12">
        <v>0</v>
      </c>
      <c r="K117" s="12">
        <v>0.85</v>
      </c>
      <c r="L117" s="12">
        <v>931.01</v>
      </c>
      <c r="M117" s="12">
        <f t="shared" si="2"/>
        <v>131498.85</v>
      </c>
      <c r="N117" s="12">
        <v>13149.5</v>
      </c>
      <c r="O117" s="12">
        <v>8175.71</v>
      </c>
      <c r="P117" s="12">
        <v>2660</v>
      </c>
      <c r="Q117" s="12">
        <v>18865.759999999998</v>
      </c>
      <c r="R117" s="12">
        <v>30844.81</v>
      </c>
      <c r="S117" s="12">
        <v>17382.41</v>
      </c>
      <c r="T117" s="12">
        <f t="shared" si="3"/>
        <v>222577.04</v>
      </c>
    </row>
    <row r="118" spans="1:20" x14ac:dyDescent="0.25">
      <c r="A118" s="5" t="s">
        <v>136</v>
      </c>
      <c r="B118" s="18">
        <v>36</v>
      </c>
      <c r="C118" s="12">
        <v>2054.9699999999998</v>
      </c>
      <c r="D118" s="12">
        <v>1280.1400000000001</v>
      </c>
      <c r="E118" s="12">
        <v>9247.3799999999992</v>
      </c>
      <c r="F118" s="12">
        <v>1179.08</v>
      </c>
      <c r="G118" s="12">
        <v>370.57</v>
      </c>
      <c r="H118" s="12">
        <v>980.31</v>
      </c>
      <c r="I118" s="12">
        <v>0</v>
      </c>
      <c r="J118" s="12">
        <v>0</v>
      </c>
      <c r="K118" s="12">
        <f>0.54+495</f>
        <v>495.54</v>
      </c>
      <c r="L118" s="12">
        <v>185.31</v>
      </c>
      <c r="M118" s="12">
        <f t="shared" si="2"/>
        <v>15793.299999999997</v>
      </c>
      <c r="N118" s="12">
        <v>1579.35</v>
      </c>
      <c r="O118" s="12">
        <v>984.78</v>
      </c>
      <c r="P118" s="12">
        <v>648</v>
      </c>
      <c r="Q118" s="12">
        <v>2323.0100000000002</v>
      </c>
      <c r="R118" s="12">
        <v>3743.47</v>
      </c>
      <c r="S118" s="12">
        <v>2375.73</v>
      </c>
      <c r="T118" s="12">
        <f t="shared" si="3"/>
        <v>27447.639999999996</v>
      </c>
    </row>
    <row r="119" spans="1:20" x14ac:dyDescent="0.25">
      <c r="A119" s="5" t="s">
        <v>137</v>
      </c>
      <c r="B119" s="18">
        <v>70</v>
      </c>
      <c r="C119" s="12">
        <v>3481.73</v>
      </c>
      <c r="D119" s="12">
        <v>3572.37</v>
      </c>
      <c r="E119" s="12">
        <v>10650.12</v>
      </c>
      <c r="F119" s="12">
        <v>2599.54</v>
      </c>
      <c r="G119" s="12">
        <v>868.27</v>
      </c>
      <c r="H119" s="12">
        <v>2138.62</v>
      </c>
      <c r="I119" s="12">
        <v>415.94</v>
      </c>
      <c r="J119" s="12">
        <v>86.86</v>
      </c>
      <c r="K119" s="12">
        <v>9.2100000000000009</v>
      </c>
      <c r="L119" s="12">
        <v>0</v>
      </c>
      <c r="M119" s="12">
        <f t="shared" si="2"/>
        <v>23822.66</v>
      </c>
      <c r="N119" s="12">
        <v>2382.3000000000002</v>
      </c>
      <c r="O119" s="12">
        <v>1495.39</v>
      </c>
      <c r="P119" s="12">
        <v>280</v>
      </c>
      <c r="Q119" s="12">
        <v>3702.76</v>
      </c>
      <c r="R119" s="12">
        <v>5540.07</v>
      </c>
      <c r="S119" s="12">
        <v>3820.04</v>
      </c>
      <c r="T119" s="12">
        <f t="shared" si="3"/>
        <v>41043.22</v>
      </c>
    </row>
    <row r="120" spans="1:20" x14ac:dyDescent="0.25">
      <c r="A120" s="5" t="s">
        <v>138</v>
      </c>
      <c r="B120" s="18">
        <v>47</v>
      </c>
      <c r="C120" s="12">
        <v>1966.95</v>
      </c>
      <c r="D120" s="12">
        <v>2885.96</v>
      </c>
      <c r="E120" s="12">
        <v>7851.66</v>
      </c>
      <c r="F120" s="12">
        <v>1031.8599999999999</v>
      </c>
      <c r="G120" s="12">
        <v>443.45</v>
      </c>
      <c r="H120" s="12">
        <v>1160.81</v>
      </c>
      <c r="I120" s="12">
        <v>0</v>
      </c>
      <c r="J120" s="12">
        <v>640.34</v>
      </c>
      <c r="K120" s="12">
        <v>0</v>
      </c>
      <c r="L120" s="12">
        <v>0</v>
      </c>
      <c r="M120" s="12">
        <f t="shared" si="2"/>
        <v>15981.03</v>
      </c>
      <c r="N120" s="12">
        <v>1598.12</v>
      </c>
      <c r="O120" s="12">
        <v>1432.19</v>
      </c>
      <c r="P120" s="12">
        <v>470</v>
      </c>
      <c r="Q120" s="12">
        <v>2438.29</v>
      </c>
      <c r="R120" s="12">
        <v>3896.21</v>
      </c>
      <c r="S120" s="12">
        <v>2606.11</v>
      </c>
      <c r="T120" s="12">
        <f>SUM(M120:S120)</f>
        <v>28421.95</v>
      </c>
    </row>
    <row r="121" spans="1:20" x14ac:dyDescent="0.25">
      <c r="A121" s="5" t="s">
        <v>139</v>
      </c>
      <c r="B121" s="18">
        <v>226</v>
      </c>
      <c r="C121" s="12">
        <v>18418.060000000001</v>
      </c>
      <c r="D121" s="12">
        <v>11768.63</v>
      </c>
      <c r="E121" s="12">
        <v>46476.79</v>
      </c>
      <c r="F121" s="12">
        <v>7731.09</v>
      </c>
      <c r="G121" s="12">
        <v>6032.89</v>
      </c>
      <c r="H121" s="12">
        <v>7959.32</v>
      </c>
      <c r="I121" s="12">
        <v>2111.75</v>
      </c>
      <c r="J121" s="12">
        <v>0</v>
      </c>
      <c r="K121" s="12">
        <v>39.74</v>
      </c>
      <c r="L121" s="12">
        <v>0</v>
      </c>
      <c r="M121" s="12">
        <f t="shared" si="2"/>
        <v>100538.27</v>
      </c>
      <c r="N121" s="12">
        <v>10053.83</v>
      </c>
      <c r="O121" s="12">
        <v>6309.28</v>
      </c>
      <c r="P121" s="12">
        <v>2260</v>
      </c>
      <c r="Q121" s="12">
        <v>15593.49</v>
      </c>
      <c r="R121" s="12">
        <v>23832.28</v>
      </c>
      <c r="S121" s="12">
        <v>15080.14</v>
      </c>
      <c r="T121" s="12">
        <f t="shared" si="3"/>
        <v>173667.28999999998</v>
      </c>
    </row>
    <row r="122" spans="1:20" x14ac:dyDescent="0.25">
      <c r="A122" s="5" t="s">
        <v>140</v>
      </c>
      <c r="B122" s="18">
        <v>27</v>
      </c>
      <c r="C122" s="12">
        <v>1284.49</v>
      </c>
      <c r="D122" s="12">
        <v>779.12</v>
      </c>
      <c r="E122" s="12">
        <v>3569.17</v>
      </c>
      <c r="F122" s="12">
        <v>947.57</v>
      </c>
      <c r="G122" s="12">
        <v>421.15</v>
      </c>
      <c r="H122" s="12">
        <v>1210.78</v>
      </c>
      <c r="I122" s="12">
        <v>489.65</v>
      </c>
      <c r="J122" s="12">
        <v>0</v>
      </c>
      <c r="K122" s="12">
        <v>0</v>
      </c>
      <c r="L122" s="12">
        <v>0</v>
      </c>
      <c r="M122" s="12">
        <f t="shared" si="2"/>
        <v>8701.93</v>
      </c>
      <c r="N122" s="12">
        <v>870.8</v>
      </c>
      <c r="O122" s="12">
        <v>759.97</v>
      </c>
      <c r="P122" s="12">
        <v>270</v>
      </c>
      <c r="Q122" s="12">
        <v>1355.17</v>
      </c>
      <c r="R122" s="12">
        <v>2121.73</v>
      </c>
      <c r="S122" s="12">
        <v>2166.87</v>
      </c>
      <c r="T122" s="12">
        <f t="shared" si="3"/>
        <v>16246.469999999998</v>
      </c>
    </row>
    <row r="123" spans="1:20" x14ac:dyDescent="0.25">
      <c r="A123" s="7" t="s">
        <v>155</v>
      </c>
      <c r="B123" s="19">
        <v>26</v>
      </c>
      <c r="C123" s="15">
        <v>2780.51</v>
      </c>
      <c r="D123" s="15">
        <v>2742.86</v>
      </c>
      <c r="E123" s="15">
        <v>12342.85</v>
      </c>
      <c r="F123" s="15">
        <v>1528.8</v>
      </c>
      <c r="G123" s="15">
        <v>449.65</v>
      </c>
      <c r="H123" s="15">
        <v>382.21</v>
      </c>
      <c r="I123" s="15">
        <v>0</v>
      </c>
      <c r="J123" s="15">
        <v>0</v>
      </c>
      <c r="K123" s="15">
        <v>650.27</v>
      </c>
      <c r="L123" s="15">
        <v>0</v>
      </c>
      <c r="M123" s="15">
        <f t="shared" si="2"/>
        <v>20877.150000000001</v>
      </c>
      <c r="N123" s="15">
        <v>2086.63</v>
      </c>
      <c r="O123" s="15">
        <v>1305.22</v>
      </c>
      <c r="P123" s="15">
        <v>0</v>
      </c>
      <c r="Q123" s="15">
        <v>3140.36</v>
      </c>
      <c r="R123" s="15">
        <v>4853.8100000000004</v>
      </c>
      <c r="S123" s="15">
        <v>2686.94</v>
      </c>
      <c r="T123" s="15">
        <f>SUM(M123:S123)</f>
        <v>34950.110000000008</v>
      </c>
    </row>
    <row r="124" spans="1:20" x14ac:dyDescent="0.25">
      <c r="A124" s="5" t="s">
        <v>141</v>
      </c>
      <c r="B124" s="29">
        <f>SUM(B4:B123)</f>
        <v>15442</v>
      </c>
      <c r="C124" s="30">
        <f t="shared" ref="C124:T124" si="4">SUM(C4:C123)</f>
        <v>1642286.8199999994</v>
      </c>
      <c r="D124" s="30">
        <f t="shared" si="4"/>
        <v>1531548.5699999998</v>
      </c>
      <c r="E124" s="30">
        <f t="shared" si="4"/>
        <v>7492856.9999999991</v>
      </c>
      <c r="F124" s="30">
        <f t="shared" si="4"/>
        <v>607311.89</v>
      </c>
      <c r="G124" s="30">
        <f t="shared" si="4"/>
        <v>317598.71000000008</v>
      </c>
      <c r="H124" s="30">
        <f t="shared" si="4"/>
        <v>198548.24999999997</v>
      </c>
      <c r="I124" s="30">
        <f t="shared" si="4"/>
        <v>36724.62000000001</v>
      </c>
      <c r="J124" s="30">
        <f t="shared" si="4"/>
        <v>107244.15999999999</v>
      </c>
      <c r="K124" s="30">
        <f t="shared" si="4"/>
        <v>513998.21000000008</v>
      </c>
      <c r="L124" s="30">
        <f t="shared" si="4"/>
        <v>814105.79000000015</v>
      </c>
      <c r="M124" s="30">
        <f t="shared" si="4"/>
        <v>13262224.020000003</v>
      </c>
      <c r="N124" s="30">
        <f t="shared" si="4"/>
        <v>885251.77</v>
      </c>
      <c r="O124" s="30">
        <f t="shared" si="4"/>
        <v>525478.6100000001</v>
      </c>
      <c r="P124" s="30">
        <f t="shared" si="4"/>
        <v>258526.05</v>
      </c>
      <c r="Q124" s="30">
        <f t="shared" si="4"/>
        <v>1800370.49</v>
      </c>
      <c r="R124" s="30">
        <f t="shared" si="4"/>
        <v>2969589.439999999</v>
      </c>
      <c r="S124" s="30">
        <f t="shared" si="4"/>
        <v>1809055.6599999995</v>
      </c>
      <c r="T124" s="30">
        <f t="shared" si="4"/>
        <v>21510496.039999999</v>
      </c>
    </row>
    <row r="126" spans="1:20" x14ac:dyDescent="0.25">
      <c r="B126" s="68" t="s">
        <v>172</v>
      </c>
      <c r="C126" s="68"/>
      <c r="D126" s="68"/>
      <c r="E126" s="68"/>
      <c r="F126" s="68"/>
      <c r="G126" s="68"/>
      <c r="H126" s="68"/>
      <c r="I126" s="68"/>
      <c r="J126" s="68"/>
      <c r="K126" s="68"/>
      <c r="L126" s="68"/>
      <c r="M126" s="68"/>
      <c r="N126" s="68"/>
      <c r="O126" s="68"/>
      <c r="P126" s="68"/>
      <c r="Q126" s="68"/>
      <c r="R126" s="68"/>
      <c r="S126" s="68"/>
    </row>
    <row r="128" spans="1:20" x14ac:dyDescent="0.25">
      <c r="B128" s="2" t="s">
        <v>147</v>
      </c>
      <c r="C128" s="1"/>
      <c r="D128" s="1"/>
      <c r="E128" s="1"/>
      <c r="F128" s="1"/>
      <c r="G128" s="1"/>
      <c r="H128" s="1"/>
      <c r="I128" s="1"/>
      <c r="J128" s="1"/>
      <c r="K128" s="1"/>
      <c r="L128" s="1"/>
      <c r="M128" s="1"/>
      <c r="N128" s="1"/>
      <c r="O128" s="1"/>
    </row>
    <row r="129" spans="1:15" x14ac:dyDescent="0.25">
      <c r="B129" s="1"/>
      <c r="C129" s="1"/>
      <c r="D129" s="1"/>
      <c r="E129" s="1"/>
      <c r="F129" s="1"/>
      <c r="G129" s="1"/>
      <c r="H129" s="1"/>
      <c r="I129" s="1"/>
      <c r="J129" s="1"/>
      <c r="K129" s="1"/>
      <c r="L129" s="1"/>
      <c r="M129" s="1"/>
      <c r="N129" s="1"/>
      <c r="O129" s="1"/>
    </row>
    <row r="130" spans="1:15" x14ac:dyDescent="0.25">
      <c r="B130" s="1" t="s">
        <v>171</v>
      </c>
      <c r="C130" s="1"/>
      <c r="D130" s="1"/>
      <c r="E130" s="1"/>
      <c r="F130" s="1"/>
      <c r="G130" s="17"/>
      <c r="H130" s="17"/>
      <c r="I130" s="17"/>
      <c r="J130" s="17"/>
      <c r="K130" s="17"/>
      <c r="L130" s="17"/>
      <c r="M130" s="17"/>
      <c r="N130" s="17"/>
      <c r="O130" s="17"/>
    </row>
    <row r="131" spans="1:15" x14ac:dyDescent="0.25">
      <c r="B131" s="1" t="s">
        <v>145</v>
      </c>
      <c r="C131" s="1"/>
      <c r="D131" s="1"/>
      <c r="E131" s="1"/>
      <c r="F131" s="1"/>
      <c r="G131" s="17"/>
      <c r="H131" s="17"/>
      <c r="I131" s="17"/>
      <c r="J131" s="17"/>
      <c r="K131" s="17"/>
      <c r="L131" s="17"/>
      <c r="M131" s="17"/>
      <c r="N131" s="17"/>
      <c r="O131" s="17"/>
    </row>
    <row r="132" spans="1:15" x14ac:dyDescent="0.25">
      <c r="B132" s="1" t="s">
        <v>144</v>
      </c>
      <c r="C132" s="1"/>
      <c r="D132" s="1"/>
      <c r="E132" s="1"/>
      <c r="F132" s="1"/>
      <c r="G132" s="17"/>
      <c r="H132" s="17"/>
      <c r="I132" s="17"/>
      <c r="J132" s="17"/>
      <c r="K132" s="17"/>
      <c r="L132" s="17"/>
      <c r="M132" s="17"/>
      <c r="N132" s="17"/>
      <c r="O132" s="17"/>
    </row>
    <row r="133" spans="1:15" x14ac:dyDescent="0.25">
      <c r="B133" s="1" t="s">
        <v>146</v>
      </c>
      <c r="C133" s="1"/>
      <c r="D133" s="1"/>
      <c r="E133" s="1"/>
      <c r="F133" s="1"/>
      <c r="G133" s="17"/>
      <c r="H133" s="17"/>
      <c r="I133" s="17"/>
      <c r="J133" s="17"/>
      <c r="K133" s="17"/>
      <c r="L133" s="17"/>
      <c r="M133" s="17"/>
      <c r="N133" s="17"/>
      <c r="O133" s="17"/>
    </row>
    <row r="134" spans="1:15" x14ac:dyDescent="0.25">
      <c r="A134" s="31">
        <v>41262</v>
      </c>
      <c r="B134" s="1"/>
      <c r="C134" s="1"/>
      <c r="D134" s="1"/>
      <c r="E134" s="1"/>
      <c r="F134" s="1"/>
      <c r="G134" s="1"/>
      <c r="H134" s="1"/>
      <c r="I134" s="1"/>
      <c r="J134" s="1"/>
      <c r="K134" s="1"/>
      <c r="L134" s="1"/>
      <c r="M134" s="1"/>
      <c r="N134" s="1"/>
      <c r="O134" s="1"/>
    </row>
    <row r="135" spans="1:15" x14ac:dyDescent="0.25">
      <c r="B135" s="1"/>
      <c r="C135" s="1"/>
      <c r="D135" s="1"/>
      <c r="E135" s="1"/>
      <c r="F135" s="1"/>
      <c r="G135" s="1"/>
      <c r="H135" s="1"/>
      <c r="I135" s="1"/>
      <c r="J135" s="1"/>
      <c r="K135" s="1"/>
      <c r="L135" s="1"/>
      <c r="M135" s="1"/>
      <c r="N135" s="1"/>
      <c r="O135" s="1"/>
    </row>
  </sheetData>
  <mergeCells count="2">
    <mergeCell ref="A1:T1"/>
    <mergeCell ref="B126:S126"/>
  </mergeCells>
  <printOptions horizontalCentered="1"/>
  <pageMargins left="0.25" right="0.25" top="0.5" bottom="0.5" header="0.3" footer="0.3"/>
  <pageSetup paperSize="5" scale="65" orientation="landscape" copies="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9"/>
  <sheetViews>
    <sheetView topLeftCell="G121" workbookViewId="0">
      <selection activeCell="O124" sqref="O124"/>
    </sheetView>
  </sheetViews>
  <sheetFormatPr defaultRowHeight="15" x14ac:dyDescent="0.25"/>
  <cols>
    <col min="1" max="1" width="13.7109375" customWidth="1"/>
    <col min="2" max="2" width="10.28515625" customWidth="1"/>
    <col min="3" max="3" width="14.140625" customWidth="1"/>
    <col min="4" max="4" width="15.5703125" customWidth="1"/>
    <col min="5" max="5" width="15.140625" customWidth="1"/>
    <col min="6" max="6" width="13.7109375" customWidth="1"/>
    <col min="7" max="8" width="12.7109375" customWidth="1"/>
    <col min="9" max="9" width="12.5703125" customWidth="1"/>
    <col min="10" max="10" width="11.5703125" customWidth="1"/>
    <col min="11" max="11" width="12" customWidth="1"/>
    <col min="12" max="12" width="13.85546875" customWidth="1"/>
    <col min="13" max="13" width="15.85546875" customWidth="1"/>
    <col min="14" max="14" width="14.85546875" customWidth="1"/>
    <col min="15" max="15" width="15.85546875" customWidth="1"/>
    <col min="16" max="16" width="15.140625" customWidth="1"/>
    <col min="17" max="17" width="14.7109375" customWidth="1"/>
    <col min="18" max="18" width="13.5703125" customWidth="1"/>
    <col min="19" max="19" width="12" customWidth="1"/>
    <col min="20" max="20" width="14.5703125" customWidth="1"/>
  </cols>
  <sheetData>
    <row r="1" spans="1:20" ht="23.25" x14ac:dyDescent="0.35">
      <c r="A1" s="67" t="s">
        <v>174</v>
      </c>
      <c r="B1" s="67"/>
      <c r="C1" s="67"/>
      <c r="D1" s="67"/>
      <c r="E1" s="67"/>
      <c r="F1" s="67"/>
      <c r="G1" s="67"/>
      <c r="H1" s="67"/>
      <c r="I1" s="67"/>
      <c r="J1" s="67"/>
      <c r="K1" s="67"/>
      <c r="L1" s="67"/>
      <c r="M1" s="67"/>
      <c r="N1" s="67"/>
      <c r="O1" s="67"/>
      <c r="P1" s="67"/>
      <c r="Q1" s="67"/>
      <c r="R1" s="32"/>
      <c r="S1" s="32"/>
      <c r="T1" s="32"/>
    </row>
    <row r="3" spans="1:20" ht="38.25" customHeight="1" x14ac:dyDescent="0.25">
      <c r="A3" s="7" t="s">
        <v>0</v>
      </c>
      <c r="B3" s="26" t="s">
        <v>165</v>
      </c>
      <c r="C3" s="23" t="s">
        <v>3</v>
      </c>
      <c r="D3" s="23" t="s">
        <v>4</v>
      </c>
      <c r="E3" s="23" t="s">
        <v>5</v>
      </c>
      <c r="F3" s="23" t="s">
        <v>6</v>
      </c>
      <c r="G3" s="23" t="s">
        <v>7</v>
      </c>
      <c r="H3" s="23" t="s">
        <v>8</v>
      </c>
      <c r="I3" s="26" t="s">
        <v>160</v>
      </c>
      <c r="J3" s="23" t="s">
        <v>26</v>
      </c>
      <c r="K3" s="23" t="s">
        <v>10</v>
      </c>
      <c r="L3" s="8" t="s">
        <v>11</v>
      </c>
      <c r="M3" s="23" t="s">
        <v>157</v>
      </c>
      <c r="N3" s="27" t="s">
        <v>162</v>
      </c>
      <c r="O3" s="27" t="s">
        <v>163</v>
      </c>
      <c r="P3" s="27" t="s">
        <v>164</v>
      </c>
      <c r="Q3" s="23" t="s">
        <v>157</v>
      </c>
    </row>
    <row r="4" spans="1:20" x14ac:dyDescent="0.25">
      <c r="A4" s="5" t="s">
        <v>25</v>
      </c>
      <c r="B4" s="25">
        <v>33</v>
      </c>
      <c r="C4" s="9">
        <v>1863.86</v>
      </c>
      <c r="D4" s="10">
        <v>2143.15</v>
      </c>
      <c r="E4" s="11">
        <v>7317.94</v>
      </c>
      <c r="F4" s="11">
        <v>779.18</v>
      </c>
      <c r="G4" s="11">
        <v>458.32</v>
      </c>
      <c r="H4" s="11">
        <v>595.84</v>
      </c>
      <c r="I4" s="11">
        <v>244.44</v>
      </c>
      <c r="J4" s="11">
        <v>580.54</v>
      </c>
      <c r="K4" s="11">
        <v>2.63</v>
      </c>
      <c r="L4" s="11">
        <v>0</v>
      </c>
      <c r="M4" s="11">
        <f t="shared" ref="M4:M68" si="0">SUM(C4:L4)</f>
        <v>13985.9</v>
      </c>
      <c r="N4" s="11">
        <v>1831.11</v>
      </c>
      <c r="O4" s="11">
        <v>2744.38</v>
      </c>
      <c r="P4" s="11">
        <v>1702.22</v>
      </c>
      <c r="Q4" s="11">
        <f t="shared" ref="Q4:Q67" si="1">SUM(M4:P4)</f>
        <v>20263.61</v>
      </c>
    </row>
    <row r="5" spans="1:20" x14ac:dyDescent="0.25">
      <c r="A5" s="5" t="s">
        <v>27</v>
      </c>
      <c r="B5" s="18">
        <v>52</v>
      </c>
      <c r="C5" s="12">
        <v>3894.63</v>
      </c>
      <c r="D5" s="12">
        <v>3116.25</v>
      </c>
      <c r="E5" s="12">
        <v>18362.509999999998</v>
      </c>
      <c r="F5" s="12">
        <v>2855.89</v>
      </c>
      <c r="G5" s="12">
        <v>1208.3900000000001</v>
      </c>
      <c r="H5" s="12">
        <v>1017</v>
      </c>
      <c r="I5" s="12">
        <v>631.63</v>
      </c>
      <c r="J5" s="12">
        <v>3146.57</v>
      </c>
      <c r="K5" s="12">
        <v>1751.16</v>
      </c>
      <c r="L5" s="12">
        <v>0</v>
      </c>
      <c r="M5" s="12">
        <f t="shared" si="0"/>
        <v>35984.030000000006</v>
      </c>
      <c r="N5" s="12">
        <v>4619.3</v>
      </c>
      <c r="O5" s="12">
        <v>7300.81</v>
      </c>
      <c r="P5" s="12">
        <v>4378.3999999999996</v>
      </c>
      <c r="Q5" s="12">
        <f t="shared" si="1"/>
        <v>52282.540000000008</v>
      </c>
    </row>
    <row r="6" spans="1:20" x14ac:dyDescent="0.25">
      <c r="A6" s="5" t="s">
        <v>28</v>
      </c>
      <c r="B6" s="18">
        <v>78</v>
      </c>
      <c r="C6" s="12">
        <v>11857.46</v>
      </c>
      <c r="D6" s="12">
        <v>13212.43</v>
      </c>
      <c r="E6" s="12">
        <v>0</v>
      </c>
      <c r="F6" s="12">
        <v>8658.5400000000009</v>
      </c>
      <c r="G6" s="12">
        <v>2915.78</v>
      </c>
      <c r="H6" s="12">
        <v>1360.69</v>
      </c>
      <c r="I6" s="12">
        <v>0</v>
      </c>
      <c r="J6" s="12">
        <v>0</v>
      </c>
      <c r="K6" s="12">
        <v>2330.33</v>
      </c>
      <c r="L6" s="12">
        <v>0</v>
      </c>
      <c r="M6" s="12">
        <f t="shared" si="0"/>
        <v>40335.230000000003</v>
      </c>
      <c r="N6" s="12">
        <v>12055.52</v>
      </c>
      <c r="O6" s="12">
        <v>19110.12</v>
      </c>
      <c r="P6" s="12">
        <v>10661.08</v>
      </c>
      <c r="Q6" s="12">
        <f t="shared" si="1"/>
        <v>82161.95</v>
      </c>
    </row>
    <row r="7" spans="1:20" x14ac:dyDescent="0.25">
      <c r="A7" s="5" t="s">
        <v>29</v>
      </c>
      <c r="B7" s="18">
        <v>18</v>
      </c>
      <c r="C7" s="12">
        <v>1023.5</v>
      </c>
      <c r="D7" s="12">
        <v>1543.63</v>
      </c>
      <c r="E7" s="12">
        <v>4270.17</v>
      </c>
      <c r="F7" s="12">
        <v>0</v>
      </c>
      <c r="G7" s="12">
        <v>251.68</v>
      </c>
      <c r="H7" s="12">
        <v>251.68</v>
      </c>
      <c r="I7" s="12">
        <v>134.22999999999999</v>
      </c>
      <c r="J7" s="12">
        <v>0</v>
      </c>
      <c r="K7" s="12">
        <v>0.88</v>
      </c>
      <c r="L7" s="12">
        <v>0</v>
      </c>
      <c r="M7" s="12">
        <f t="shared" si="0"/>
        <v>7475.77</v>
      </c>
      <c r="N7" s="12">
        <v>981.66</v>
      </c>
      <c r="O7" s="12">
        <v>1495.17</v>
      </c>
      <c r="P7" s="12">
        <v>927.59</v>
      </c>
      <c r="Q7" s="12">
        <f t="shared" si="1"/>
        <v>10880.19</v>
      </c>
    </row>
    <row r="8" spans="1:20" x14ac:dyDescent="0.25">
      <c r="A8" s="5" t="s">
        <v>30</v>
      </c>
      <c r="B8" s="18">
        <v>96</v>
      </c>
      <c r="C8" s="12">
        <v>10260.790000000001</v>
      </c>
      <c r="D8" s="12">
        <v>11858.56</v>
      </c>
      <c r="E8" s="12">
        <v>54080.83</v>
      </c>
      <c r="F8" s="12">
        <v>2335.65</v>
      </c>
      <c r="G8" s="12">
        <v>0</v>
      </c>
      <c r="H8" s="12">
        <v>1293.0899999999999</v>
      </c>
      <c r="I8" s="12">
        <v>0</v>
      </c>
      <c r="J8" s="12">
        <v>0</v>
      </c>
      <c r="K8" s="12">
        <v>2359.36</v>
      </c>
      <c r="L8" s="12">
        <v>1564</v>
      </c>
      <c r="M8" s="12">
        <f t="shared" si="0"/>
        <v>83752.279999999984</v>
      </c>
      <c r="N8" s="12">
        <v>10334.11</v>
      </c>
      <c r="O8" s="12">
        <v>16942.46</v>
      </c>
      <c r="P8" s="12">
        <v>9815.23</v>
      </c>
      <c r="Q8" s="12">
        <f t="shared" si="1"/>
        <v>120844.07999999997</v>
      </c>
    </row>
    <row r="9" spans="1:20" x14ac:dyDescent="0.25">
      <c r="A9" s="5" t="s">
        <v>31</v>
      </c>
      <c r="B9" s="18">
        <v>44</v>
      </c>
      <c r="C9" s="12">
        <v>2855.87</v>
      </c>
      <c r="D9" s="12">
        <v>2748.14</v>
      </c>
      <c r="E9" s="12">
        <v>8614.0300000000007</v>
      </c>
      <c r="F9" s="12">
        <v>2200.42</v>
      </c>
      <c r="G9" s="12">
        <v>2106.79</v>
      </c>
      <c r="H9" s="12">
        <v>1498.17</v>
      </c>
      <c r="I9" s="12">
        <v>421.36</v>
      </c>
      <c r="J9" s="12">
        <v>2106.7800000000002</v>
      </c>
      <c r="K9" s="12">
        <v>1555.65</v>
      </c>
      <c r="L9" s="12">
        <v>0</v>
      </c>
      <c r="M9" s="12">
        <f t="shared" si="0"/>
        <v>24107.21</v>
      </c>
      <c r="N9" s="12">
        <v>3066.34</v>
      </c>
      <c r="O9" s="12">
        <v>4865.49</v>
      </c>
      <c r="P9" s="12">
        <v>3048.75</v>
      </c>
      <c r="Q9" s="12">
        <f t="shared" si="1"/>
        <v>35087.79</v>
      </c>
    </row>
    <row r="10" spans="1:20" x14ac:dyDescent="0.25">
      <c r="A10" s="5" t="s">
        <v>32</v>
      </c>
      <c r="B10" s="18">
        <v>66</v>
      </c>
      <c r="C10" s="12">
        <v>6901</v>
      </c>
      <c r="D10" s="12">
        <v>8636.4500000000007</v>
      </c>
      <c r="E10" s="12">
        <v>15859.38</v>
      </c>
      <c r="F10" s="12">
        <v>4638.8100000000004</v>
      </c>
      <c r="G10" s="12">
        <v>2602.2800000000002</v>
      </c>
      <c r="H10" s="12">
        <v>0</v>
      </c>
      <c r="I10" s="12">
        <v>0</v>
      </c>
      <c r="J10" s="12">
        <v>0</v>
      </c>
      <c r="K10" s="12">
        <v>0</v>
      </c>
      <c r="L10" s="12">
        <v>1866.85</v>
      </c>
      <c r="M10" s="12">
        <f t="shared" si="0"/>
        <v>40504.769999999997</v>
      </c>
      <c r="N10" s="12">
        <v>4971.33</v>
      </c>
      <c r="O10" s="12">
        <v>7784.27</v>
      </c>
      <c r="P10" s="12">
        <v>4816.12</v>
      </c>
      <c r="Q10" s="12">
        <f t="shared" si="1"/>
        <v>58076.49</v>
      </c>
    </row>
    <row r="11" spans="1:20" x14ac:dyDescent="0.25">
      <c r="A11" s="5" t="s">
        <v>33</v>
      </c>
      <c r="B11" s="18">
        <v>116</v>
      </c>
      <c r="C11" s="12">
        <v>24219.32</v>
      </c>
      <c r="D11" s="12">
        <v>20844.560000000001</v>
      </c>
      <c r="E11" s="12">
        <v>120950.37</v>
      </c>
      <c r="F11" s="12">
        <v>10322.98</v>
      </c>
      <c r="G11" s="12">
        <v>3771.91</v>
      </c>
      <c r="H11" s="12">
        <v>3573.36</v>
      </c>
      <c r="I11" s="12">
        <v>0</v>
      </c>
      <c r="J11" s="12">
        <v>0</v>
      </c>
      <c r="K11" s="12">
        <v>19891.98</v>
      </c>
      <c r="L11" s="12">
        <v>0</v>
      </c>
      <c r="M11" s="12">
        <f t="shared" si="0"/>
        <v>203574.48</v>
      </c>
      <c r="N11" s="12">
        <v>24274.81</v>
      </c>
      <c r="O11" s="12">
        <v>41869.11</v>
      </c>
      <c r="P11" s="12">
        <v>22097.42</v>
      </c>
      <c r="Q11" s="12">
        <f t="shared" si="1"/>
        <v>291815.82</v>
      </c>
    </row>
    <row r="12" spans="1:20" x14ac:dyDescent="0.25">
      <c r="A12" s="5" t="s">
        <v>34</v>
      </c>
      <c r="B12" s="18">
        <v>75</v>
      </c>
      <c r="C12" s="12">
        <v>11765.11</v>
      </c>
      <c r="D12" s="12">
        <v>14404.78</v>
      </c>
      <c r="E12" s="12">
        <v>33035.160000000003</v>
      </c>
      <c r="F12" s="12">
        <v>7743.59</v>
      </c>
      <c r="G12" s="12">
        <v>3472.22</v>
      </c>
      <c r="H12" s="12">
        <v>2266.29</v>
      </c>
      <c r="I12" s="12">
        <v>649.69000000000005</v>
      </c>
      <c r="J12" s="12">
        <v>0</v>
      </c>
      <c r="K12" s="12">
        <v>0</v>
      </c>
      <c r="L12" s="12">
        <v>0</v>
      </c>
      <c r="M12" s="12">
        <f t="shared" si="0"/>
        <v>73336.84</v>
      </c>
      <c r="N12" s="12">
        <v>8957.0400000000009</v>
      </c>
      <c r="O12" s="12">
        <v>14804.49</v>
      </c>
      <c r="P12" s="12">
        <v>8926.2099999999991</v>
      </c>
      <c r="Q12" s="12">
        <f t="shared" si="1"/>
        <v>106024.58000000002</v>
      </c>
    </row>
    <row r="13" spans="1:20" x14ac:dyDescent="0.25">
      <c r="A13" s="5" t="s">
        <v>35</v>
      </c>
      <c r="B13" s="18">
        <v>305</v>
      </c>
      <c r="C13" s="12">
        <v>29524.01</v>
      </c>
      <c r="D13" s="12">
        <v>46430.76</v>
      </c>
      <c r="E13" s="12">
        <v>61161.99</v>
      </c>
      <c r="F13" s="12">
        <v>32907.82</v>
      </c>
      <c r="G13" s="12">
        <v>14516.44</v>
      </c>
      <c r="H13" s="12">
        <v>9437.73</v>
      </c>
      <c r="I13" s="12">
        <v>0</v>
      </c>
      <c r="J13" s="12">
        <v>18631.95</v>
      </c>
      <c r="K13" s="12">
        <v>9514.58</v>
      </c>
      <c r="L13" s="12">
        <v>0</v>
      </c>
      <c r="M13" s="12">
        <f t="shared" si="0"/>
        <v>222125.28000000003</v>
      </c>
      <c r="N13" s="12">
        <v>28441.66</v>
      </c>
      <c r="O13" s="12">
        <v>44361.3</v>
      </c>
      <c r="P13" s="12">
        <v>26446.58</v>
      </c>
      <c r="Q13" s="12">
        <f t="shared" si="1"/>
        <v>321374.82000000007</v>
      </c>
    </row>
    <row r="14" spans="1:20" x14ac:dyDescent="0.25">
      <c r="A14" s="5" t="s">
        <v>36</v>
      </c>
      <c r="B14" s="18">
        <v>50</v>
      </c>
      <c r="C14" s="12">
        <v>5508.99</v>
      </c>
      <c r="D14" s="12">
        <v>3114.08</v>
      </c>
      <c r="E14" s="12">
        <v>20742.64</v>
      </c>
      <c r="F14" s="12">
        <v>3384.58</v>
      </c>
      <c r="G14" s="12">
        <v>1083.73</v>
      </c>
      <c r="H14" s="12">
        <v>1399.82</v>
      </c>
      <c r="I14" s="12">
        <v>0</v>
      </c>
      <c r="J14" s="12">
        <v>0</v>
      </c>
      <c r="K14" s="12">
        <v>1788.88</v>
      </c>
      <c r="L14" s="12">
        <f>2709.99+0.58</f>
        <v>2710.5699999999997</v>
      </c>
      <c r="M14" s="12">
        <f t="shared" si="0"/>
        <v>39733.29</v>
      </c>
      <c r="N14" s="12">
        <v>4930.66</v>
      </c>
      <c r="O14" s="12">
        <v>7856.24</v>
      </c>
      <c r="P14" s="12">
        <v>4678.12</v>
      </c>
      <c r="Q14" s="12">
        <f t="shared" si="1"/>
        <v>57198.31</v>
      </c>
    </row>
    <row r="15" spans="1:20" x14ac:dyDescent="0.25">
      <c r="A15" s="5" t="s">
        <v>37</v>
      </c>
      <c r="B15" s="18">
        <v>21</v>
      </c>
      <c r="C15" s="12">
        <v>1658.52</v>
      </c>
      <c r="D15" s="12">
        <v>5661.38</v>
      </c>
      <c r="E15" s="12">
        <v>5180.8500000000004</v>
      </c>
      <c r="F15" s="12">
        <v>1250.7</v>
      </c>
      <c r="G15" s="12">
        <v>652.52</v>
      </c>
      <c r="H15" s="12">
        <v>910.85</v>
      </c>
      <c r="I15" s="12">
        <v>271.89999999999998</v>
      </c>
      <c r="J15" s="12">
        <v>1046.79</v>
      </c>
      <c r="K15" s="12">
        <v>0</v>
      </c>
      <c r="L15" s="12">
        <v>0</v>
      </c>
      <c r="M15" s="12">
        <f t="shared" si="0"/>
        <v>16633.510000000002</v>
      </c>
      <c r="N15" s="12">
        <v>2150.61</v>
      </c>
      <c r="O15" s="12">
        <v>3284.64</v>
      </c>
      <c r="P15" s="12">
        <v>2545.34</v>
      </c>
      <c r="Q15" s="12">
        <f t="shared" si="1"/>
        <v>24614.100000000002</v>
      </c>
    </row>
    <row r="16" spans="1:20" x14ac:dyDescent="0.25">
      <c r="A16" s="5" t="s">
        <v>38</v>
      </c>
      <c r="B16" s="18">
        <v>135</v>
      </c>
      <c r="C16" s="12">
        <v>10388.299999999999</v>
      </c>
      <c r="D16" s="12">
        <v>8259.52</v>
      </c>
      <c r="E16" s="12">
        <v>29471.69</v>
      </c>
      <c r="F16" s="12">
        <v>7408.03</v>
      </c>
      <c r="G16" s="12">
        <v>6812.03</v>
      </c>
      <c r="H16" s="12">
        <v>8089.38</v>
      </c>
      <c r="I16" s="12">
        <v>1703.06</v>
      </c>
      <c r="J16" s="12">
        <v>0</v>
      </c>
      <c r="K16" s="12">
        <v>175.06</v>
      </c>
      <c r="L16" s="12">
        <v>0</v>
      </c>
      <c r="M16" s="12">
        <f t="shared" si="0"/>
        <v>72307.069999999992</v>
      </c>
      <c r="N16" s="12">
        <v>9063.68</v>
      </c>
      <c r="O16" s="12">
        <v>14526.92</v>
      </c>
      <c r="P16" s="12">
        <v>8582.4500000000007</v>
      </c>
      <c r="Q16" s="12">
        <f t="shared" si="1"/>
        <v>104480.12</v>
      </c>
    </row>
    <row r="17" spans="1:17" x14ac:dyDescent="0.25">
      <c r="A17" s="28" t="s">
        <v>175</v>
      </c>
      <c r="B17" s="18">
        <v>46</v>
      </c>
      <c r="C17" s="12">
        <v>3014.85</v>
      </c>
      <c r="D17" s="12">
        <v>3001.81</v>
      </c>
      <c r="E17" s="12">
        <v>12495.81</v>
      </c>
      <c r="F17" s="12">
        <v>2176.84</v>
      </c>
      <c r="G17" s="12">
        <v>766.23</v>
      </c>
      <c r="H17" s="12">
        <v>1038.03</v>
      </c>
      <c r="I17" s="12">
        <v>247.14</v>
      </c>
      <c r="J17" s="12">
        <v>0</v>
      </c>
      <c r="K17" s="12">
        <v>1792.24</v>
      </c>
      <c r="L17" s="12">
        <v>434.96</v>
      </c>
      <c r="M17" s="12">
        <f t="shared" si="0"/>
        <v>24967.91</v>
      </c>
      <c r="N17" s="12">
        <v>3341.56</v>
      </c>
      <c r="O17" s="12">
        <v>5039.6099999999997</v>
      </c>
      <c r="P17" s="12">
        <v>3439.83</v>
      </c>
      <c r="Q17" s="12">
        <f t="shared" si="1"/>
        <v>36788.910000000003</v>
      </c>
    </row>
    <row r="18" spans="1:17" s="37" customFormat="1" x14ac:dyDescent="0.25">
      <c r="A18" s="34" t="s">
        <v>40</v>
      </c>
      <c r="B18" s="35">
        <v>159</v>
      </c>
      <c r="C18" s="36">
        <v>29532.06</v>
      </c>
      <c r="D18" s="36">
        <v>25464.15</v>
      </c>
      <c r="E18" s="36">
        <v>144273.82</v>
      </c>
      <c r="F18" s="36">
        <v>16702.98</v>
      </c>
      <c r="G18" s="36">
        <v>5809.65</v>
      </c>
      <c r="H18" s="36">
        <v>2420.73</v>
      </c>
      <c r="I18" s="36">
        <v>0</v>
      </c>
      <c r="J18" s="36">
        <v>0</v>
      </c>
      <c r="K18" s="36">
        <v>18437.41</v>
      </c>
      <c r="L18" s="36">
        <v>5307.72</v>
      </c>
      <c r="M18" s="36">
        <f t="shared" si="0"/>
        <v>247948.52000000005</v>
      </c>
      <c r="N18" s="36">
        <v>30100.799999999999</v>
      </c>
      <c r="O18" s="36">
        <v>49462.5</v>
      </c>
      <c r="P18" s="36">
        <v>27179.98</v>
      </c>
      <c r="Q18" s="36">
        <f t="shared" si="1"/>
        <v>354691.80000000005</v>
      </c>
    </row>
    <row r="19" spans="1:17" x14ac:dyDescent="0.25">
      <c r="A19" s="5" t="s">
        <v>41</v>
      </c>
      <c r="B19" s="18">
        <v>39</v>
      </c>
      <c r="C19" s="12">
        <v>1779.1</v>
      </c>
      <c r="D19" s="12">
        <v>1615.91</v>
      </c>
      <c r="E19" s="12">
        <v>5497.78</v>
      </c>
      <c r="F19" s="12">
        <v>977.08</v>
      </c>
      <c r="G19" s="12">
        <v>328.22</v>
      </c>
      <c r="H19" s="12">
        <v>893.98</v>
      </c>
      <c r="I19" s="12">
        <v>0</v>
      </c>
      <c r="J19" s="12">
        <v>1297.9000000000001</v>
      </c>
      <c r="K19" s="12">
        <v>8.48</v>
      </c>
      <c r="L19" s="12">
        <f>22.61+102.32</f>
        <v>124.92999999999999</v>
      </c>
      <c r="M19" s="12">
        <f t="shared" si="0"/>
        <v>12523.38</v>
      </c>
      <c r="N19" s="12">
        <v>1619.53</v>
      </c>
      <c r="O19" s="12">
        <v>2504.69</v>
      </c>
      <c r="P19" s="12">
        <v>1604.18</v>
      </c>
      <c r="Q19" s="12">
        <f t="shared" si="1"/>
        <v>18251.78</v>
      </c>
    </row>
    <row r="20" spans="1:17" x14ac:dyDescent="0.25">
      <c r="A20" s="5" t="s">
        <v>42</v>
      </c>
      <c r="B20" s="18">
        <v>34</v>
      </c>
      <c r="C20" s="12">
        <v>1735.9</v>
      </c>
      <c r="D20" s="12">
        <v>1689.31</v>
      </c>
      <c r="E20" s="12">
        <v>5136.51</v>
      </c>
      <c r="F20" s="12">
        <v>668.75</v>
      </c>
      <c r="G20" s="12">
        <v>711.44</v>
      </c>
      <c r="H20" s="12">
        <v>488.02</v>
      </c>
      <c r="I20" s="12">
        <v>0</v>
      </c>
      <c r="J20" s="12">
        <v>0</v>
      </c>
      <c r="K20" s="12">
        <v>0</v>
      </c>
      <c r="L20" s="12">
        <f>782.6+97.8</f>
        <v>880.4</v>
      </c>
      <c r="M20" s="12">
        <f t="shared" si="0"/>
        <v>11310.330000000002</v>
      </c>
      <c r="N20" s="12">
        <v>1416.98</v>
      </c>
      <c r="O20" s="12">
        <v>2282.4899999999998</v>
      </c>
      <c r="P20" s="12">
        <v>1447.22</v>
      </c>
      <c r="Q20" s="12">
        <f t="shared" si="1"/>
        <v>16457.02</v>
      </c>
    </row>
    <row r="21" spans="1:17" x14ac:dyDescent="0.25">
      <c r="A21" s="5" t="s">
        <v>43</v>
      </c>
      <c r="B21" s="18">
        <v>85</v>
      </c>
      <c r="C21" s="12">
        <v>9308.74</v>
      </c>
      <c r="D21" s="12">
        <v>9126.14</v>
      </c>
      <c r="E21" s="12">
        <v>25048.39</v>
      </c>
      <c r="F21" s="12">
        <v>3812.66</v>
      </c>
      <c r="G21" s="12">
        <v>2136.4499999999998</v>
      </c>
      <c r="H21" s="12">
        <v>1220.81</v>
      </c>
      <c r="I21" s="12">
        <v>381.61</v>
      </c>
      <c r="J21" s="12">
        <v>0</v>
      </c>
      <c r="K21" s="12">
        <v>2099.19</v>
      </c>
      <c r="L21" s="12">
        <v>0</v>
      </c>
      <c r="M21" s="12">
        <f t="shared" si="0"/>
        <v>53133.989999999991</v>
      </c>
      <c r="N21" s="12">
        <v>6867.38</v>
      </c>
      <c r="O21" s="12">
        <v>10648.36</v>
      </c>
      <c r="P21" s="12">
        <v>6174.12</v>
      </c>
      <c r="Q21" s="12">
        <f t="shared" si="1"/>
        <v>76823.849999999977</v>
      </c>
    </row>
    <row r="22" spans="1:17" x14ac:dyDescent="0.25">
      <c r="A22" s="5" t="s">
        <v>44</v>
      </c>
      <c r="B22" s="18">
        <v>223</v>
      </c>
      <c r="C22" s="12">
        <v>27611.26</v>
      </c>
      <c r="D22" s="12">
        <v>35708.99</v>
      </c>
      <c r="E22" s="12">
        <v>91020.85</v>
      </c>
      <c r="F22" s="12">
        <v>17426.68</v>
      </c>
      <c r="G22" s="12">
        <v>4752.8900000000003</v>
      </c>
      <c r="H22" s="12">
        <v>6337</v>
      </c>
      <c r="I22" s="12">
        <v>633.77</v>
      </c>
      <c r="J22" s="12">
        <v>0</v>
      </c>
      <c r="K22" s="12">
        <v>10880.51</v>
      </c>
      <c r="L22" s="12">
        <v>0</v>
      </c>
      <c r="M22" s="12">
        <f t="shared" si="0"/>
        <v>194371.95</v>
      </c>
      <c r="N22" s="12">
        <v>24179.99</v>
      </c>
      <c r="O22" s="12">
        <v>38651.35</v>
      </c>
      <c r="P22" s="12">
        <v>29360.7</v>
      </c>
      <c r="Q22" s="12">
        <f t="shared" si="1"/>
        <v>286563.99</v>
      </c>
    </row>
    <row r="23" spans="1:17" x14ac:dyDescent="0.25">
      <c r="A23" s="5" t="s">
        <v>45</v>
      </c>
      <c r="B23" s="18">
        <v>6</v>
      </c>
      <c r="C23" s="12">
        <v>478.77</v>
      </c>
      <c r="D23" s="12">
        <v>792.9</v>
      </c>
      <c r="E23" s="12">
        <v>2036.7</v>
      </c>
      <c r="F23" s="12">
        <v>0</v>
      </c>
      <c r="G23" s="12">
        <v>125.58</v>
      </c>
      <c r="H23" s="12">
        <v>270.77999999999997</v>
      </c>
      <c r="I23" s="12">
        <v>78.489999999999995</v>
      </c>
      <c r="J23" s="12">
        <v>0</v>
      </c>
      <c r="K23" s="12">
        <v>0</v>
      </c>
      <c r="L23" s="12">
        <v>320.05</v>
      </c>
      <c r="M23" s="12">
        <f t="shared" si="0"/>
        <v>4103.2699999999995</v>
      </c>
      <c r="N23" s="12">
        <v>532.21</v>
      </c>
      <c r="O23" s="12">
        <v>797.85</v>
      </c>
      <c r="P23" s="12">
        <v>488.94</v>
      </c>
      <c r="Q23" s="12">
        <f t="shared" si="1"/>
        <v>5922.2699999999995</v>
      </c>
    </row>
    <row r="24" spans="1:17" x14ac:dyDescent="0.25">
      <c r="A24" s="5" t="s">
        <v>46</v>
      </c>
      <c r="B24" s="18">
        <v>25</v>
      </c>
      <c r="C24" s="12">
        <v>3124.62</v>
      </c>
      <c r="D24" s="12">
        <v>1326.3</v>
      </c>
      <c r="E24" s="12">
        <v>14470.6</v>
      </c>
      <c r="F24" s="12">
        <v>2586.7399999999998</v>
      </c>
      <c r="G24" s="12">
        <v>1383.03</v>
      </c>
      <c r="H24" s="12">
        <v>0</v>
      </c>
      <c r="I24" s="12">
        <v>0</v>
      </c>
      <c r="J24" s="12">
        <v>0</v>
      </c>
      <c r="K24" s="12">
        <v>1684.64</v>
      </c>
      <c r="L24" s="12">
        <v>99.07</v>
      </c>
      <c r="M24" s="12">
        <f t="shared" si="0"/>
        <v>24675</v>
      </c>
      <c r="N24" s="12">
        <v>3107.68</v>
      </c>
      <c r="O24" s="12">
        <v>4889.99</v>
      </c>
      <c r="P24" s="12">
        <v>2820.03</v>
      </c>
      <c r="Q24" s="12">
        <f t="shared" si="1"/>
        <v>35492.699999999997</v>
      </c>
    </row>
    <row r="25" spans="1:17" x14ac:dyDescent="0.25">
      <c r="A25" s="5" t="s">
        <v>47</v>
      </c>
      <c r="B25" s="18">
        <v>52</v>
      </c>
      <c r="C25" s="12">
        <v>4810.76</v>
      </c>
      <c r="D25" s="12">
        <v>2878.62</v>
      </c>
      <c r="E25" s="12">
        <v>18336.169999999998</v>
      </c>
      <c r="F25" s="12">
        <v>0</v>
      </c>
      <c r="G25" s="12">
        <v>1182.97</v>
      </c>
      <c r="H25" s="12">
        <v>1656.16</v>
      </c>
      <c r="I25" s="12">
        <v>0</v>
      </c>
      <c r="J25" s="12">
        <v>2996.76</v>
      </c>
      <c r="K25" s="12">
        <v>38.93</v>
      </c>
      <c r="L25" s="12">
        <v>0</v>
      </c>
      <c r="M25" s="12">
        <f t="shared" si="0"/>
        <v>31900.370000000003</v>
      </c>
      <c r="N25" s="12">
        <v>4236.26</v>
      </c>
      <c r="O25" s="12">
        <v>6484.08</v>
      </c>
      <c r="P25" s="12">
        <v>3710.05</v>
      </c>
      <c r="Q25" s="12">
        <f t="shared" si="1"/>
        <v>46330.760000000009</v>
      </c>
    </row>
    <row r="26" spans="1:17" x14ac:dyDescent="0.25">
      <c r="A26" s="5" t="s">
        <v>48</v>
      </c>
      <c r="B26" s="18">
        <v>24</v>
      </c>
      <c r="C26" s="12">
        <v>1134.72</v>
      </c>
      <c r="D26" s="12">
        <v>613.86</v>
      </c>
      <c r="E26" s="12">
        <v>3850.61</v>
      </c>
      <c r="F26" s="12">
        <v>744.08</v>
      </c>
      <c r="G26" s="12">
        <v>399.93</v>
      </c>
      <c r="H26" s="12">
        <v>158.11000000000001</v>
      </c>
      <c r="I26" s="12">
        <v>130.22</v>
      </c>
      <c r="J26" s="12">
        <v>204.62</v>
      </c>
      <c r="K26" s="12">
        <v>9.07</v>
      </c>
      <c r="L26" s="12">
        <v>567.37</v>
      </c>
      <c r="M26" s="12">
        <f t="shared" si="0"/>
        <v>7812.59</v>
      </c>
      <c r="N26" s="12">
        <v>1043.6199999999999</v>
      </c>
      <c r="O26" s="12">
        <v>1586.51</v>
      </c>
      <c r="P26" s="12">
        <v>1021.27</v>
      </c>
      <c r="Q26" s="12">
        <f t="shared" si="1"/>
        <v>11463.99</v>
      </c>
    </row>
    <row r="27" spans="1:17" x14ac:dyDescent="0.25">
      <c r="A27" s="5" t="s">
        <v>49</v>
      </c>
      <c r="B27" s="18">
        <v>109</v>
      </c>
      <c r="C27" s="12">
        <v>20442.490000000002</v>
      </c>
      <c r="D27" s="12">
        <v>30663.73</v>
      </c>
      <c r="E27" s="12">
        <v>64846.17</v>
      </c>
      <c r="F27" s="12">
        <v>0</v>
      </c>
      <c r="G27" s="12">
        <v>3853.93</v>
      </c>
      <c r="H27" s="12">
        <v>4021.44</v>
      </c>
      <c r="I27" s="12">
        <v>670.25</v>
      </c>
      <c r="J27" s="12">
        <v>0</v>
      </c>
      <c r="K27" s="12">
        <v>2769.13</v>
      </c>
      <c r="L27" s="12">
        <v>442.1</v>
      </c>
      <c r="M27" s="12">
        <f t="shared" si="0"/>
        <v>127709.24</v>
      </c>
      <c r="N27" s="12">
        <v>16394.810000000001</v>
      </c>
      <c r="O27" s="12">
        <v>25722.76</v>
      </c>
      <c r="P27" s="12">
        <v>15432.58</v>
      </c>
      <c r="Q27" s="12">
        <f t="shared" si="1"/>
        <v>185259.39</v>
      </c>
    </row>
    <row r="28" spans="1:17" x14ac:dyDescent="0.25">
      <c r="A28" s="5" t="s">
        <v>50</v>
      </c>
      <c r="B28" s="18">
        <v>119</v>
      </c>
      <c r="C28" s="12">
        <v>14320.5</v>
      </c>
      <c r="D28" s="12">
        <v>11281.51</v>
      </c>
      <c r="E28" s="12">
        <v>62916.22</v>
      </c>
      <c r="F28" s="12">
        <v>8334.06</v>
      </c>
      <c r="G28" s="12">
        <v>4695.24</v>
      </c>
      <c r="H28" s="12">
        <v>2934.56</v>
      </c>
      <c r="I28" s="12">
        <v>0</v>
      </c>
      <c r="J28" s="12">
        <v>0</v>
      </c>
      <c r="K28" s="12">
        <v>0</v>
      </c>
      <c r="L28" s="12">
        <v>0</v>
      </c>
      <c r="M28" s="12">
        <f>SUM(C28:L28)</f>
        <v>104482.09000000001</v>
      </c>
      <c r="N28" s="12">
        <v>12624.83</v>
      </c>
      <c r="O28" s="12">
        <v>20760.8</v>
      </c>
      <c r="P28" s="12">
        <v>12138.03</v>
      </c>
      <c r="Q28" s="12">
        <f>SUM(M28:P28)</f>
        <v>150005.75</v>
      </c>
    </row>
    <row r="29" spans="1:17" x14ac:dyDescent="0.25">
      <c r="A29" s="5" t="s">
        <v>51</v>
      </c>
      <c r="B29" s="18">
        <v>209</v>
      </c>
      <c r="C29" s="12">
        <v>9021.5499999999993</v>
      </c>
      <c r="D29" s="12">
        <v>8868.7000000000007</v>
      </c>
      <c r="E29" s="12">
        <v>41041.18</v>
      </c>
      <c r="F29" s="12">
        <v>5398.37</v>
      </c>
      <c r="G29" s="12">
        <v>4436.83</v>
      </c>
      <c r="H29" s="12">
        <v>3697.36</v>
      </c>
      <c r="I29" s="12">
        <v>887.4</v>
      </c>
      <c r="J29" s="12">
        <v>0</v>
      </c>
      <c r="K29" s="12">
        <v>0</v>
      </c>
      <c r="L29" s="12">
        <v>0</v>
      </c>
      <c r="M29" s="12">
        <f>SUM(C29:L29)</f>
        <v>73351.39</v>
      </c>
      <c r="N29" s="12">
        <v>9221.7900000000009</v>
      </c>
      <c r="O29" s="12">
        <v>14119.59</v>
      </c>
      <c r="P29" s="12">
        <v>9177.9599999999991</v>
      </c>
      <c r="Q29" s="12">
        <f>SUM(M29:P29)</f>
        <v>105870.72999999998</v>
      </c>
    </row>
    <row r="30" spans="1:17" x14ac:dyDescent="0.25">
      <c r="A30" s="5" t="s">
        <v>52</v>
      </c>
      <c r="B30" s="18">
        <v>6</v>
      </c>
      <c r="C30" s="12">
        <v>563.79999999999995</v>
      </c>
      <c r="D30" s="12">
        <v>313.27999999999997</v>
      </c>
      <c r="E30" s="12">
        <v>1774.59</v>
      </c>
      <c r="F30" s="12">
        <v>138.63999999999999</v>
      </c>
      <c r="G30" s="12">
        <v>161.74</v>
      </c>
      <c r="H30" s="12">
        <v>212.58</v>
      </c>
      <c r="I30" s="12">
        <v>72.569999999999993</v>
      </c>
      <c r="J30" s="12">
        <v>0</v>
      </c>
      <c r="K30" s="12">
        <v>0</v>
      </c>
      <c r="L30" s="12">
        <v>0</v>
      </c>
      <c r="M30" s="12">
        <f t="shared" si="0"/>
        <v>3237.2000000000003</v>
      </c>
      <c r="N30" s="12">
        <v>422.79</v>
      </c>
      <c r="O30" s="12">
        <v>652.24</v>
      </c>
      <c r="P30" s="12">
        <v>380.11</v>
      </c>
      <c r="Q30" s="12">
        <f t="shared" si="1"/>
        <v>4692.34</v>
      </c>
    </row>
    <row r="31" spans="1:17" x14ac:dyDescent="0.25">
      <c r="A31" s="5" t="s">
        <v>53</v>
      </c>
      <c r="B31" s="18">
        <v>24</v>
      </c>
      <c r="C31" s="12">
        <v>1503.53</v>
      </c>
      <c r="D31" s="12">
        <v>1670.88</v>
      </c>
      <c r="E31" s="12">
        <v>5681.39</v>
      </c>
      <c r="F31" s="12">
        <v>616.20000000000005</v>
      </c>
      <c r="G31" s="12">
        <v>369.72</v>
      </c>
      <c r="H31" s="12">
        <v>443.67</v>
      </c>
      <c r="I31" s="12">
        <v>0</v>
      </c>
      <c r="J31" s="12">
        <v>0</v>
      </c>
      <c r="K31" s="12">
        <v>0</v>
      </c>
      <c r="L31" s="12">
        <v>2.21</v>
      </c>
      <c r="M31" s="12">
        <f t="shared" si="0"/>
        <v>10287.599999999999</v>
      </c>
      <c r="N31" s="12">
        <v>1335.16</v>
      </c>
      <c r="O31" s="12">
        <v>2067.13</v>
      </c>
      <c r="P31" s="12">
        <v>1249.57</v>
      </c>
      <c r="Q31" s="12">
        <f t="shared" si="1"/>
        <v>14939.46</v>
      </c>
    </row>
    <row r="32" spans="1:17" x14ac:dyDescent="0.25">
      <c r="A32" s="5" t="s">
        <v>166</v>
      </c>
      <c r="B32" s="18">
        <v>10</v>
      </c>
      <c r="C32" s="12">
        <v>433.86</v>
      </c>
      <c r="D32" s="12">
        <v>263.58999999999997</v>
      </c>
      <c r="E32" s="12">
        <v>1276.71</v>
      </c>
      <c r="F32" s="12">
        <v>288.05</v>
      </c>
      <c r="G32" s="12">
        <v>124.48</v>
      </c>
      <c r="H32" s="12">
        <v>209.38</v>
      </c>
      <c r="I32" s="12">
        <v>92.47</v>
      </c>
      <c r="J32" s="12">
        <v>192.05</v>
      </c>
      <c r="K32" s="12">
        <v>9.64</v>
      </c>
      <c r="L32" s="12">
        <v>0</v>
      </c>
      <c r="M32" s="12">
        <f t="shared" si="0"/>
        <v>2890.23</v>
      </c>
      <c r="N32" s="12">
        <v>368.8</v>
      </c>
      <c r="O32" s="12">
        <v>578.13</v>
      </c>
      <c r="P32" s="12">
        <v>379.08</v>
      </c>
      <c r="Q32" s="12">
        <f t="shared" si="1"/>
        <v>4216.2400000000007</v>
      </c>
    </row>
    <row r="33" spans="1:17" x14ac:dyDescent="0.25">
      <c r="A33" s="28" t="s">
        <v>176</v>
      </c>
      <c r="B33" s="18">
        <v>154</v>
      </c>
      <c r="C33" s="12">
        <v>14804.68</v>
      </c>
      <c r="D33" s="12">
        <v>16811.580000000002</v>
      </c>
      <c r="E33" s="12">
        <v>51772.41</v>
      </c>
      <c r="F33" s="12">
        <v>7766.39</v>
      </c>
      <c r="G33" s="12">
        <v>4247.57</v>
      </c>
      <c r="H33" s="12">
        <v>1092.27</v>
      </c>
      <c r="I33" s="12">
        <v>0</v>
      </c>
      <c r="J33" s="12">
        <v>0</v>
      </c>
      <c r="K33" s="12">
        <v>2039.32</v>
      </c>
      <c r="L33" s="12">
        <v>126.02</v>
      </c>
      <c r="M33" s="12">
        <f t="shared" si="0"/>
        <v>98660.24000000002</v>
      </c>
      <c r="N33" s="12">
        <v>11856.95</v>
      </c>
      <c r="O33" s="12">
        <v>19670.509999999998</v>
      </c>
      <c r="P33" s="12">
        <v>13993.31</v>
      </c>
      <c r="Q33" s="12">
        <f t="shared" si="1"/>
        <v>144181.01</v>
      </c>
    </row>
    <row r="34" spans="1:17" x14ac:dyDescent="0.25">
      <c r="A34" s="5" t="s">
        <v>55</v>
      </c>
      <c r="B34" s="18">
        <v>74</v>
      </c>
      <c r="C34" s="12">
        <v>8980.7000000000007</v>
      </c>
      <c r="D34" s="12">
        <v>10240.469999999999</v>
      </c>
      <c r="E34" s="12">
        <v>29143.05</v>
      </c>
      <c r="F34" s="12">
        <v>4996.92</v>
      </c>
      <c r="G34" s="12">
        <v>0</v>
      </c>
      <c r="H34" s="12">
        <v>0</v>
      </c>
      <c r="I34" s="12">
        <v>0</v>
      </c>
      <c r="J34" s="12">
        <v>5296.85</v>
      </c>
      <c r="K34" s="12">
        <v>2505.89</v>
      </c>
      <c r="L34" s="12">
        <v>142.75</v>
      </c>
      <c r="M34" s="12">
        <f t="shared" si="0"/>
        <v>61306.63</v>
      </c>
      <c r="N34" s="12">
        <v>7940.81</v>
      </c>
      <c r="O34" s="12">
        <v>12354.95</v>
      </c>
      <c r="P34" s="12">
        <v>7081.34</v>
      </c>
      <c r="Q34" s="12">
        <f t="shared" si="1"/>
        <v>88683.73</v>
      </c>
    </row>
    <row r="35" spans="1:17" x14ac:dyDescent="0.25">
      <c r="A35" s="5" t="s">
        <v>56</v>
      </c>
      <c r="B35" s="18">
        <v>23</v>
      </c>
      <c r="C35" s="12">
        <v>1088.72</v>
      </c>
      <c r="D35">
        <v>1150.17</v>
      </c>
      <c r="E35" s="12">
        <v>3632.05</v>
      </c>
      <c r="F35" s="12">
        <v>0</v>
      </c>
      <c r="G35" s="12">
        <v>267.72000000000003</v>
      </c>
      <c r="H35" s="12">
        <v>597.91</v>
      </c>
      <c r="I35" s="12">
        <v>472.94</v>
      </c>
      <c r="J35" s="12">
        <v>874.55</v>
      </c>
      <c r="K35" s="12">
        <v>0</v>
      </c>
      <c r="L35" s="12">
        <v>8.18</v>
      </c>
      <c r="M35" s="12">
        <f t="shared" si="0"/>
        <v>8092.2400000000007</v>
      </c>
      <c r="N35" s="12">
        <v>1052.72</v>
      </c>
      <c r="O35" s="12">
        <v>1605.82</v>
      </c>
      <c r="P35" s="12">
        <v>1142.73</v>
      </c>
      <c r="Q35" s="12">
        <f t="shared" si="1"/>
        <v>11893.51</v>
      </c>
    </row>
    <row r="36" spans="1:17" x14ac:dyDescent="0.25">
      <c r="A36" s="5" t="s">
        <v>57</v>
      </c>
      <c r="B36" s="18">
        <v>52</v>
      </c>
      <c r="C36" s="12">
        <v>3899.44</v>
      </c>
      <c r="D36" s="12">
        <v>2785.01</v>
      </c>
      <c r="E36" s="12">
        <v>13775.85</v>
      </c>
      <c r="F36" s="12">
        <v>4155.1499999999996</v>
      </c>
      <c r="G36" s="12">
        <v>2557.0100000000002</v>
      </c>
      <c r="H36" s="12">
        <v>2077.59</v>
      </c>
      <c r="I36" s="12">
        <v>479.44</v>
      </c>
      <c r="J36" s="12">
        <v>3196.26</v>
      </c>
      <c r="K36" s="12">
        <v>11.27</v>
      </c>
      <c r="L36" s="12">
        <v>14.53</v>
      </c>
      <c r="M36" s="12">
        <f t="shared" si="0"/>
        <v>32951.550000000003</v>
      </c>
      <c r="N36" s="12">
        <v>4334.8500000000004</v>
      </c>
      <c r="O36" s="12">
        <v>6666.98</v>
      </c>
      <c r="P36" s="12">
        <v>4049.14</v>
      </c>
      <c r="Q36" s="12">
        <f t="shared" si="1"/>
        <v>48002.520000000004</v>
      </c>
    </row>
    <row r="37" spans="1:17" x14ac:dyDescent="0.25">
      <c r="A37" s="5" t="s">
        <v>58</v>
      </c>
      <c r="B37" s="18">
        <v>287</v>
      </c>
      <c r="C37" s="12">
        <v>110572.38</v>
      </c>
      <c r="D37" s="12">
        <v>225452.44</v>
      </c>
      <c r="E37" s="12">
        <v>610866.29</v>
      </c>
      <c r="F37" s="12">
        <v>0</v>
      </c>
      <c r="G37" s="12">
        <v>25377.15</v>
      </c>
      <c r="H37" s="12">
        <v>2991.52</v>
      </c>
      <c r="I37" s="12">
        <v>362.42</v>
      </c>
      <c r="J37" s="12">
        <v>0</v>
      </c>
      <c r="K37" s="12">
        <v>0</v>
      </c>
      <c r="L37" s="12">
        <v>54379.81</v>
      </c>
      <c r="M37" s="12">
        <f>SUM(C37:L37)</f>
        <v>1030002.0100000002</v>
      </c>
      <c r="N37" s="12">
        <v>113079.31</v>
      </c>
      <c r="O37" s="12">
        <v>202596.45</v>
      </c>
      <c r="P37" s="12">
        <v>109516.46</v>
      </c>
      <c r="Q37" s="12">
        <f t="shared" si="1"/>
        <v>1455194.2300000002</v>
      </c>
    </row>
    <row r="38" spans="1:17" x14ac:dyDescent="0.25">
      <c r="A38" s="5" t="s">
        <v>59</v>
      </c>
      <c r="B38" s="18">
        <v>45</v>
      </c>
      <c r="C38" s="12">
        <v>2283.58</v>
      </c>
      <c r="D38" s="12">
        <v>3350.17</v>
      </c>
      <c r="E38" s="12">
        <v>7673.54</v>
      </c>
      <c r="F38" s="12">
        <v>1361.7</v>
      </c>
      <c r="G38" s="12">
        <v>840.52</v>
      </c>
      <c r="H38" s="12">
        <v>746.41</v>
      </c>
      <c r="I38" s="12">
        <v>130.74</v>
      </c>
      <c r="J38" s="12">
        <v>840.83</v>
      </c>
      <c r="K38" s="12">
        <v>0</v>
      </c>
      <c r="L38" s="12">
        <v>38.340000000000003</v>
      </c>
      <c r="M38" s="12">
        <f t="shared" si="0"/>
        <v>17265.830000000005</v>
      </c>
      <c r="N38" s="12">
        <v>2207.42</v>
      </c>
      <c r="O38" s="12">
        <v>3484.22</v>
      </c>
      <c r="P38" s="12">
        <v>2365.58</v>
      </c>
      <c r="Q38" s="12">
        <f t="shared" si="1"/>
        <v>25323.05000000001</v>
      </c>
    </row>
    <row r="39" spans="1:17" x14ac:dyDescent="0.25">
      <c r="A39" s="5" t="s">
        <v>167</v>
      </c>
      <c r="B39" s="18">
        <v>376</v>
      </c>
      <c r="C39" s="12">
        <v>28179.81</v>
      </c>
      <c r="D39" s="12">
        <v>27861.919999999998</v>
      </c>
      <c r="E39" s="12">
        <v>120110.57</v>
      </c>
      <c r="F39" s="12">
        <v>14320.9</v>
      </c>
      <c r="G39" s="12">
        <v>13858.92</v>
      </c>
      <c r="H39" s="12">
        <v>5312.72</v>
      </c>
      <c r="I39" s="12">
        <v>2078.9699999999998</v>
      </c>
      <c r="J39" s="12">
        <v>0</v>
      </c>
      <c r="K39" s="12">
        <v>20114.330000000002</v>
      </c>
      <c r="L39" s="12">
        <v>0</v>
      </c>
      <c r="M39" s="12">
        <f t="shared" si="0"/>
        <v>231838.14</v>
      </c>
      <c r="N39" s="12">
        <v>27065.66</v>
      </c>
      <c r="O39" s="12">
        <v>46442.65</v>
      </c>
      <c r="P39" s="12">
        <v>38984.67</v>
      </c>
      <c r="Q39" s="12">
        <f t="shared" si="1"/>
        <v>344331.12</v>
      </c>
    </row>
    <row r="40" spans="1:17" x14ac:dyDescent="0.25">
      <c r="A40" s="5" t="s">
        <v>60</v>
      </c>
      <c r="B40" s="18">
        <v>189</v>
      </c>
      <c r="C40" s="12">
        <v>32512.5</v>
      </c>
      <c r="D40" s="12">
        <v>44916.84</v>
      </c>
      <c r="E40" s="12">
        <v>151103.51</v>
      </c>
      <c r="F40" s="12">
        <v>22918.73</v>
      </c>
      <c r="G40" s="12">
        <v>10659.86</v>
      </c>
      <c r="H40" s="12">
        <v>3730.96</v>
      </c>
      <c r="I40" s="12">
        <v>2398.54</v>
      </c>
      <c r="J40" s="12">
        <v>0</v>
      </c>
      <c r="K40" s="12">
        <v>0</v>
      </c>
      <c r="L40" s="12">
        <v>0</v>
      </c>
      <c r="M40" s="12">
        <f t="shared" si="0"/>
        <v>268240.94</v>
      </c>
      <c r="N40" s="12">
        <v>32470.66</v>
      </c>
      <c r="O40" s="12">
        <v>53837.21</v>
      </c>
      <c r="P40" s="12">
        <v>29564.66</v>
      </c>
      <c r="Q40" s="12">
        <f t="shared" si="1"/>
        <v>384113.47</v>
      </c>
    </row>
    <row r="41" spans="1:17" x14ac:dyDescent="0.25">
      <c r="A41" s="5" t="s">
        <v>61</v>
      </c>
      <c r="B41" s="18">
        <v>0</v>
      </c>
      <c r="C41" s="12">
        <v>0</v>
      </c>
      <c r="D41" s="12">
        <v>0</v>
      </c>
      <c r="E41" s="12">
        <v>0</v>
      </c>
      <c r="F41" s="12">
        <v>0</v>
      </c>
      <c r="G41" s="12">
        <v>0</v>
      </c>
      <c r="H41" s="12">
        <v>0</v>
      </c>
      <c r="I41" s="12">
        <v>0</v>
      </c>
      <c r="J41" s="12">
        <v>0</v>
      </c>
      <c r="K41" s="12">
        <v>0</v>
      </c>
      <c r="L41" s="12">
        <v>0</v>
      </c>
      <c r="M41" s="12">
        <f t="shared" si="0"/>
        <v>0</v>
      </c>
      <c r="N41" s="12">
        <v>0</v>
      </c>
      <c r="O41" s="12">
        <v>0</v>
      </c>
      <c r="P41" s="12">
        <v>0</v>
      </c>
      <c r="Q41" s="12">
        <f t="shared" si="1"/>
        <v>0</v>
      </c>
    </row>
    <row r="42" spans="1:17" x14ac:dyDescent="0.25">
      <c r="A42" s="5" t="s">
        <v>62</v>
      </c>
      <c r="B42" s="18">
        <v>39</v>
      </c>
      <c r="C42" s="12">
        <v>4256.21</v>
      </c>
      <c r="D42" s="12">
        <v>3416.98</v>
      </c>
      <c r="E42" s="12">
        <v>23548.62</v>
      </c>
      <c r="F42" s="12">
        <v>4046.85</v>
      </c>
      <c r="G42" s="12">
        <v>1918.74</v>
      </c>
      <c r="H42" s="12">
        <v>1988.57</v>
      </c>
      <c r="I42" s="12">
        <v>314.02</v>
      </c>
      <c r="J42" s="12">
        <v>0</v>
      </c>
      <c r="K42" s="12">
        <v>448.46</v>
      </c>
      <c r="L42" s="12">
        <v>1112.67</v>
      </c>
      <c r="M42" s="12">
        <f t="shared" si="0"/>
        <v>41051.119999999988</v>
      </c>
      <c r="N42" s="12">
        <v>5479.24</v>
      </c>
      <c r="O42" s="12">
        <v>8225.85</v>
      </c>
      <c r="P42" s="12">
        <v>4658.9399999999996</v>
      </c>
      <c r="Q42" s="12">
        <f t="shared" si="1"/>
        <v>59415.149999999987</v>
      </c>
    </row>
    <row r="43" spans="1:17" x14ac:dyDescent="0.25">
      <c r="A43" s="5" t="s">
        <v>63</v>
      </c>
      <c r="B43" s="18">
        <v>42</v>
      </c>
      <c r="C43" s="12">
        <v>4599.2700000000004</v>
      </c>
      <c r="D43" s="12">
        <v>3393.91</v>
      </c>
      <c r="E43" s="12">
        <v>24127.3</v>
      </c>
      <c r="F43" s="12">
        <v>2525.88</v>
      </c>
      <c r="G43" s="12">
        <v>1507.96</v>
      </c>
      <c r="H43" s="12">
        <v>1394.91</v>
      </c>
      <c r="I43" s="12">
        <v>312.94</v>
      </c>
      <c r="J43" s="12">
        <v>0</v>
      </c>
      <c r="K43" s="12">
        <v>1719.72</v>
      </c>
      <c r="L43" s="12">
        <v>1919.68</v>
      </c>
      <c r="M43" s="12">
        <f t="shared" si="0"/>
        <v>41501.570000000007</v>
      </c>
      <c r="N43" s="12">
        <v>5414.97</v>
      </c>
      <c r="O43" s="12">
        <v>8308.74</v>
      </c>
      <c r="P43" s="12">
        <v>4742.3500000000004</v>
      </c>
      <c r="Q43" s="12">
        <f t="shared" si="1"/>
        <v>59967.630000000005</v>
      </c>
    </row>
    <row r="44" spans="1:17" x14ac:dyDescent="0.25">
      <c r="A44" s="5" t="s">
        <v>64</v>
      </c>
      <c r="B44" s="18">
        <v>78</v>
      </c>
      <c r="C44" s="12">
        <v>6925.77</v>
      </c>
      <c r="D44" s="12">
        <v>8213.57</v>
      </c>
      <c r="E44" s="12">
        <v>32452.48</v>
      </c>
      <c r="F44" s="12">
        <v>4571.22</v>
      </c>
      <c r="G44" s="12">
        <v>1590.77</v>
      </c>
      <c r="H44" s="12">
        <v>2146.12</v>
      </c>
      <c r="I44" s="12">
        <v>566.04999999999995</v>
      </c>
      <c r="J44" s="12">
        <v>0</v>
      </c>
      <c r="K44" s="12">
        <v>2266.2800000000002</v>
      </c>
      <c r="L44" s="12">
        <v>860.82</v>
      </c>
      <c r="M44" s="12">
        <f t="shared" si="0"/>
        <v>59593.08</v>
      </c>
      <c r="N44" s="12">
        <v>7377.65</v>
      </c>
      <c r="O44" s="12">
        <v>12074.62</v>
      </c>
      <c r="P44" s="12">
        <v>7129.31</v>
      </c>
      <c r="Q44" s="12">
        <f t="shared" si="1"/>
        <v>86174.659999999989</v>
      </c>
    </row>
    <row r="45" spans="1:17" x14ac:dyDescent="0.25">
      <c r="A45" s="5" t="s">
        <v>65</v>
      </c>
      <c r="B45" s="18">
        <v>115</v>
      </c>
      <c r="C45" s="12">
        <v>8934.0300000000007</v>
      </c>
      <c r="D45" s="12">
        <v>7615.35</v>
      </c>
      <c r="E45" s="12">
        <v>22792.5</v>
      </c>
      <c r="F45" s="12">
        <v>4027.63</v>
      </c>
      <c r="G45" s="12">
        <v>2563.04</v>
      </c>
      <c r="H45" s="12">
        <v>0</v>
      </c>
      <c r="I45" s="12">
        <v>0</v>
      </c>
      <c r="J45" s="12">
        <v>0</v>
      </c>
      <c r="K45" s="12">
        <v>3282.92</v>
      </c>
      <c r="L45" s="12">
        <f>1537.82+505.76</f>
        <v>2043.58</v>
      </c>
      <c r="M45" s="12">
        <f t="shared" si="0"/>
        <v>51259.05</v>
      </c>
      <c r="N45" s="12">
        <v>6514.54</v>
      </c>
      <c r="O45" s="12">
        <v>10320.85</v>
      </c>
      <c r="P45" s="12">
        <v>6770.38</v>
      </c>
      <c r="Q45" s="12">
        <f t="shared" si="1"/>
        <v>74864.820000000007</v>
      </c>
    </row>
    <row r="46" spans="1:17" x14ac:dyDescent="0.25">
      <c r="A46" s="5" t="s">
        <v>66</v>
      </c>
      <c r="B46" s="18">
        <v>74</v>
      </c>
      <c r="C46" s="12">
        <v>9635.69</v>
      </c>
      <c r="D46" s="12">
        <v>5276.82</v>
      </c>
      <c r="E46" s="12">
        <v>34909.32</v>
      </c>
      <c r="F46" s="12">
        <v>5054.6499999999996</v>
      </c>
      <c r="G46" s="12">
        <v>2053.5100000000002</v>
      </c>
      <c r="H46" s="12">
        <v>2369.65</v>
      </c>
      <c r="I46" s="12">
        <v>0</v>
      </c>
      <c r="J46" s="12">
        <v>0</v>
      </c>
      <c r="K46" s="12">
        <v>0</v>
      </c>
      <c r="L46" s="12">
        <f>3238.24+469.65</f>
        <v>3707.89</v>
      </c>
      <c r="M46" s="12">
        <f t="shared" si="0"/>
        <v>63007.530000000006</v>
      </c>
      <c r="N46" s="12">
        <v>8381.1200000000008</v>
      </c>
      <c r="O46" s="12">
        <v>12705.09</v>
      </c>
      <c r="P46" s="12">
        <v>7388.49</v>
      </c>
      <c r="Q46" s="12">
        <f t="shared" si="1"/>
        <v>91482.23000000001</v>
      </c>
    </row>
    <row r="47" spans="1:17" x14ac:dyDescent="0.25">
      <c r="A47" s="5" t="s">
        <v>67</v>
      </c>
      <c r="B47" s="18">
        <v>5</v>
      </c>
      <c r="C47" s="12">
        <v>318.08</v>
      </c>
      <c r="D47" s="12">
        <v>273.75</v>
      </c>
      <c r="E47" s="12">
        <v>1191.46</v>
      </c>
      <c r="F47" s="12">
        <v>216.39</v>
      </c>
      <c r="G47" s="12">
        <v>91.26</v>
      </c>
      <c r="H47" s="12">
        <v>112.1</v>
      </c>
      <c r="I47" s="12">
        <v>0</v>
      </c>
      <c r="J47" s="12">
        <v>0</v>
      </c>
      <c r="K47" s="12">
        <v>0</v>
      </c>
      <c r="L47" s="12">
        <v>260.70999999999998</v>
      </c>
      <c r="M47" s="12">
        <f t="shared" si="0"/>
        <v>2463.75</v>
      </c>
      <c r="N47" s="12">
        <v>328.68</v>
      </c>
      <c r="O47" s="12">
        <v>492.75</v>
      </c>
      <c r="P47" s="12">
        <v>371.37</v>
      </c>
      <c r="Q47" s="12">
        <f t="shared" si="1"/>
        <v>3656.5499999999997</v>
      </c>
    </row>
    <row r="48" spans="1:17" x14ac:dyDescent="0.25">
      <c r="A48" s="5" t="s">
        <v>68</v>
      </c>
      <c r="B48" s="18">
        <v>202</v>
      </c>
      <c r="C48" s="12">
        <v>15754.65</v>
      </c>
      <c r="D48" s="12">
        <v>31713.31</v>
      </c>
      <c r="E48" s="12">
        <v>99868.64</v>
      </c>
      <c r="F48" s="12">
        <v>14334.6</v>
      </c>
      <c r="G48" s="12">
        <v>5165.6000000000004</v>
      </c>
      <c r="H48" s="12">
        <v>2544.19</v>
      </c>
      <c r="I48" s="12">
        <v>0</v>
      </c>
      <c r="J48" s="12">
        <v>7540.2</v>
      </c>
      <c r="K48" s="12">
        <v>6531.81</v>
      </c>
      <c r="L48" s="12">
        <v>4446.49</v>
      </c>
      <c r="M48" s="12">
        <f t="shared" si="0"/>
        <v>187899.49000000002</v>
      </c>
      <c r="N48" s="12">
        <v>23352.240000000002</v>
      </c>
      <c r="O48" s="12">
        <v>37741.519999999997</v>
      </c>
      <c r="P48" s="12">
        <v>21699.24</v>
      </c>
      <c r="Q48" s="12">
        <f t="shared" si="1"/>
        <v>270692.49</v>
      </c>
    </row>
    <row r="49" spans="1:17" x14ac:dyDescent="0.25">
      <c r="A49" s="5" t="s">
        <v>69</v>
      </c>
      <c r="B49" s="18">
        <v>15</v>
      </c>
      <c r="C49" s="12">
        <v>578.61</v>
      </c>
      <c r="D49" s="12">
        <v>505.59</v>
      </c>
      <c r="E49" s="12">
        <v>2731.82</v>
      </c>
      <c r="F49" s="12">
        <v>545.41999999999996</v>
      </c>
      <c r="G49" s="12">
        <v>130.41</v>
      </c>
      <c r="H49" s="12">
        <v>0</v>
      </c>
      <c r="I49" s="12">
        <v>0</v>
      </c>
      <c r="J49" s="12">
        <v>0</v>
      </c>
      <c r="K49" s="12">
        <v>0</v>
      </c>
      <c r="L49" s="12">
        <v>3.91</v>
      </c>
      <c r="M49" s="12">
        <f t="shared" si="0"/>
        <v>4495.76</v>
      </c>
      <c r="N49" s="12">
        <v>497.7</v>
      </c>
      <c r="O49" s="12">
        <v>879.17</v>
      </c>
      <c r="P49" s="12">
        <v>650.58000000000004</v>
      </c>
      <c r="Q49" s="12">
        <f t="shared" si="1"/>
        <v>6523.21</v>
      </c>
    </row>
    <row r="50" spans="1:17" x14ac:dyDescent="0.25">
      <c r="A50" s="5" t="s">
        <v>70</v>
      </c>
      <c r="B50" s="18">
        <v>227</v>
      </c>
      <c r="C50" s="12">
        <v>26599.360000000001</v>
      </c>
      <c r="D50" s="12">
        <v>28880.85</v>
      </c>
      <c r="E50" s="12">
        <v>132235.28</v>
      </c>
      <c r="F50" s="12">
        <v>0</v>
      </c>
      <c r="G50" s="12">
        <v>5374.21</v>
      </c>
      <c r="H50" s="12">
        <v>2240.67</v>
      </c>
      <c r="I50" s="12">
        <v>339.71</v>
      </c>
      <c r="J50" s="12">
        <v>0</v>
      </c>
      <c r="K50" s="12">
        <v>2819.02</v>
      </c>
      <c r="L50" s="12">
        <f>583.94+2830.81</f>
        <v>3414.75</v>
      </c>
      <c r="M50" s="12">
        <f t="shared" si="0"/>
        <v>201903.84999999998</v>
      </c>
      <c r="N50" s="12">
        <v>22681.49</v>
      </c>
      <c r="O50" s="12">
        <v>39694.82</v>
      </c>
      <c r="P50" s="12">
        <v>23025.57</v>
      </c>
      <c r="Q50" s="12">
        <f t="shared" si="1"/>
        <v>287305.73</v>
      </c>
    </row>
    <row r="51" spans="1:17" x14ac:dyDescent="0.25">
      <c r="A51" s="5" t="s">
        <v>71</v>
      </c>
      <c r="B51" s="18">
        <v>106</v>
      </c>
      <c r="C51" s="12">
        <v>6120.93</v>
      </c>
      <c r="D51" s="12">
        <v>15223.91</v>
      </c>
      <c r="E51" s="12">
        <v>16253.27</v>
      </c>
      <c r="F51" s="12">
        <v>3261.25</v>
      </c>
      <c r="G51" s="12">
        <v>2006.85</v>
      </c>
      <c r="H51" s="12">
        <v>3361.55</v>
      </c>
      <c r="I51" s="12">
        <v>501.74</v>
      </c>
      <c r="J51" s="12">
        <v>0</v>
      </c>
      <c r="K51" s="12">
        <v>0</v>
      </c>
      <c r="L51" s="12">
        <v>2761.31</v>
      </c>
      <c r="M51" s="12">
        <f t="shared" si="0"/>
        <v>49490.81</v>
      </c>
      <c r="N51" s="12">
        <v>6563.1</v>
      </c>
      <c r="O51" s="12">
        <v>10110.19</v>
      </c>
      <c r="P51" s="12">
        <v>7811.1</v>
      </c>
      <c r="Q51" s="12">
        <f t="shared" si="1"/>
        <v>73975.199999999997</v>
      </c>
    </row>
    <row r="52" spans="1:17" x14ac:dyDescent="0.25">
      <c r="A52" s="5" t="s">
        <v>72</v>
      </c>
      <c r="B52" s="18">
        <v>50</v>
      </c>
      <c r="C52" s="12">
        <v>5091.25</v>
      </c>
      <c r="D52" s="12">
        <v>4656.66</v>
      </c>
      <c r="E52" s="12">
        <v>17944.580000000002</v>
      </c>
      <c r="F52" s="12">
        <v>2921.25</v>
      </c>
      <c r="G52" s="12">
        <v>2086.58</v>
      </c>
      <c r="H52" s="12">
        <v>2086.58</v>
      </c>
      <c r="I52" s="12">
        <v>417.3</v>
      </c>
      <c r="J52" s="12">
        <v>0</v>
      </c>
      <c r="K52" s="12">
        <v>1858.07</v>
      </c>
      <c r="L52" s="12">
        <v>0</v>
      </c>
      <c r="M52" s="12">
        <f t="shared" si="0"/>
        <v>37062.270000000004</v>
      </c>
      <c r="N52" s="12">
        <v>4590.1099999999997</v>
      </c>
      <c r="O52" s="12">
        <v>7432.45</v>
      </c>
      <c r="P52" s="12">
        <v>4416.25</v>
      </c>
      <c r="Q52" s="12">
        <f t="shared" si="1"/>
        <v>53501.08</v>
      </c>
    </row>
    <row r="53" spans="1:17" x14ac:dyDescent="0.25">
      <c r="A53" s="5" t="s">
        <v>73</v>
      </c>
      <c r="B53" s="18">
        <v>62</v>
      </c>
      <c r="C53" s="12">
        <v>3377.45</v>
      </c>
      <c r="D53" s="12">
        <v>2812.8</v>
      </c>
      <c r="E53" s="12">
        <v>14348.19</v>
      </c>
      <c r="F53" s="12">
        <v>1640.49</v>
      </c>
      <c r="G53" s="12">
        <v>0</v>
      </c>
      <c r="H53" s="12">
        <v>0</v>
      </c>
      <c r="I53" s="12">
        <v>0</v>
      </c>
      <c r="J53" s="12">
        <v>0</v>
      </c>
      <c r="K53" s="12">
        <v>2264.98</v>
      </c>
      <c r="L53" s="12">
        <v>0</v>
      </c>
      <c r="M53" s="12">
        <f t="shared" si="0"/>
        <v>24443.910000000003</v>
      </c>
      <c r="N53" s="12">
        <v>3340.57</v>
      </c>
      <c r="O53" s="12">
        <v>4950.78</v>
      </c>
      <c r="P53" s="12">
        <v>3374.39</v>
      </c>
      <c r="Q53" s="12">
        <f t="shared" si="1"/>
        <v>36109.65</v>
      </c>
    </row>
    <row r="54" spans="1:17" x14ac:dyDescent="0.25">
      <c r="A54" s="5" t="s">
        <v>74</v>
      </c>
      <c r="B54" s="18">
        <v>113</v>
      </c>
      <c r="C54" s="12">
        <v>9172.94</v>
      </c>
      <c r="D54" s="12">
        <v>8873.1200000000008</v>
      </c>
      <c r="E54" s="12">
        <v>39765.040000000001</v>
      </c>
      <c r="F54" s="12">
        <v>5839.17</v>
      </c>
      <c r="G54" s="12">
        <v>1954.87</v>
      </c>
      <c r="H54" s="12">
        <v>2026.03</v>
      </c>
      <c r="I54" s="12">
        <v>0</v>
      </c>
      <c r="J54" s="12">
        <v>0</v>
      </c>
      <c r="K54" s="12">
        <v>0</v>
      </c>
      <c r="L54" s="12">
        <v>25.73</v>
      </c>
      <c r="M54" s="12">
        <f t="shared" si="0"/>
        <v>67656.899999999994</v>
      </c>
      <c r="N54" s="12">
        <v>7947.27</v>
      </c>
      <c r="O54" s="12">
        <v>13399.2</v>
      </c>
      <c r="P54" s="12">
        <v>9185.6</v>
      </c>
      <c r="Q54" s="12">
        <f t="shared" si="1"/>
        <v>98188.97</v>
      </c>
    </row>
    <row r="55" spans="1:17" x14ac:dyDescent="0.25">
      <c r="A55" s="5" t="s">
        <v>75</v>
      </c>
      <c r="B55" s="18">
        <v>77</v>
      </c>
      <c r="C55" s="12">
        <v>6410.9</v>
      </c>
      <c r="D55" s="12">
        <v>6918.21</v>
      </c>
      <c r="E55" s="12">
        <v>33128.629999999997</v>
      </c>
      <c r="F55" s="12">
        <v>4203.9399999999996</v>
      </c>
      <c r="G55" s="12">
        <v>2101.9699999999998</v>
      </c>
      <c r="H55" s="12">
        <v>2207.06</v>
      </c>
      <c r="I55" s="12">
        <v>367.82</v>
      </c>
      <c r="J55" s="12">
        <v>0</v>
      </c>
      <c r="K55" s="12">
        <v>2015.19</v>
      </c>
      <c r="L55" s="12">
        <v>197.29</v>
      </c>
      <c r="M55" s="12">
        <f t="shared" si="0"/>
        <v>57551.01</v>
      </c>
      <c r="N55" s="12">
        <v>7281.52</v>
      </c>
      <c r="O55" s="12">
        <v>11510.16</v>
      </c>
      <c r="P55" s="12">
        <v>7064.14</v>
      </c>
      <c r="Q55" s="12">
        <f t="shared" si="1"/>
        <v>83406.83</v>
      </c>
    </row>
    <row r="56" spans="1:17" x14ac:dyDescent="0.25">
      <c r="A56" s="5" t="s">
        <v>76</v>
      </c>
      <c r="B56" s="18">
        <v>9</v>
      </c>
      <c r="C56" s="12">
        <v>475.82</v>
      </c>
      <c r="D56" s="12">
        <v>676.23</v>
      </c>
      <c r="E56" s="12">
        <v>2051.4699999999998</v>
      </c>
      <c r="F56" s="12">
        <v>0</v>
      </c>
      <c r="G56" s="12">
        <v>124.8</v>
      </c>
      <c r="H56" s="12">
        <v>214.52</v>
      </c>
      <c r="I56" s="12">
        <v>50.72</v>
      </c>
      <c r="J56" s="12">
        <v>0</v>
      </c>
      <c r="K56" s="12">
        <f>253.42+1.37</f>
        <v>254.79</v>
      </c>
      <c r="L56" s="12">
        <v>128.38999999999999</v>
      </c>
      <c r="M56" s="12">
        <f t="shared" si="0"/>
        <v>3976.7399999999993</v>
      </c>
      <c r="N56" s="12">
        <v>505.03</v>
      </c>
      <c r="O56" s="12">
        <v>796.6</v>
      </c>
      <c r="P56" s="12">
        <v>522.79</v>
      </c>
      <c r="Q56" s="12">
        <f t="shared" si="1"/>
        <v>5801.16</v>
      </c>
    </row>
    <row r="57" spans="1:17" x14ac:dyDescent="0.25">
      <c r="A57" s="5" t="s">
        <v>158</v>
      </c>
      <c r="B57" s="18">
        <v>129</v>
      </c>
      <c r="C57" s="12">
        <v>7518.05</v>
      </c>
      <c r="D57" s="12">
        <v>13130.81</v>
      </c>
      <c r="E57" s="12">
        <v>36974.089999999997</v>
      </c>
      <c r="F57" s="12">
        <v>0</v>
      </c>
      <c r="G57" s="12">
        <v>2403.4699999999998</v>
      </c>
      <c r="H57" s="12">
        <v>1047.69</v>
      </c>
      <c r="I57" s="12">
        <v>0</v>
      </c>
      <c r="J57" s="12">
        <v>0</v>
      </c>
      <c r="K57" s="12">
        <v>2145.19</v>
      </c>
      <c r="L57" s="12">
        <v>0</v>
      </c>
      <c r="M57" s="12">
        <f t="shared" si="0"/>
        <v>63219.3</v>
      </c>
      <c r="N57" s="12">
        <v>6933.17</v>
      </c>
      <c r="O57" s="12">
        <v>12106.35</v>
      </c>
      <c r="P57" s="12">
        <v>10826.2</v>
      </c>
      <c r="Q57" s="12">
        <f t="shared" si="1"/>
        <v>93085.02</v>
      </c>
    </row>
    <row r="58" spans="1:17" x14ac:dyDescent="0.25">
      <c r="A58" s="5" t="s">
        <v>77</v>
      </c>
      <c r="B58" s="18">
        <v>27</v>
      </c>
      <c r="C58" s="12">
        <v>1654.92</v>
      </c>
      <c r="D58" s="12">
        <v>1072.23</v>
      </c>
      <c r="E58" s="12">
        <v>7881.24</v>
      </c>
      <c r="F58" s="12">
        <v>1627.8</v>
      </c>
      <c r="G58" s="12">
        <v>659.91</v>
      </c>
      <c r="H58" s="12">
        <v>811.57</v>
      </c>
      <c r="I58" s="12">
        <v>366.32</v>
      </c>
      <c r="J58" s="12">
        <v>787.82</v>
      </c>
      <c r="K58" s="12">
        <v>0</v>
      </c>
      <c r="L58" s="12">
        <v>0</v>
      </c>
      <c r="M58" s="12">
        <f t="shared" si="0"/>
        <v>14861.809999999998</v>
      </c>
      <c r="N58" s="12">
        <v>1968.08</v>
      </c>
      <c r="O58" s="12">
        <v>3021.43</v>
      </c>
      <c r="P58" s="12">
        <v>2499.6</v>
      </c>
      <c r="Q58" s="12">
        <f t="shared" si="1"/>
        <v>22350.92</v>
      </c>
    </row>
    <row r="59" spans="1:17" x14ac:dyDescent="0.25">
      <c r="A59" s="28" t="s">
        <v>177</v>
      </c>
      <c r="B59" s="18">
        <v>2821</v>
      </c>
      <c r="C59" s="12">
        <v>392958.59</v>
      </c>
      <c r="D59" s="12">
        <v>544629.12</v>
      </c>
      <c r="E59" s="12">
        <v>2242527.89</v>
      </c>
      <c r="F59" s="12">
        <v>0</v>
      </c>
      <c r="G59" s="12">
        <v>0</v>
      </c>
      <c r="H59" s="12">
        <v>0</v>
      </c>
      <c r="I59" s="12">
        <v>0</v>
      </c>
      <c r="J59" s="12">
        <v>0</v>
      </c>
      <c r="K59" s="12">
        <v>192138.43</v>
      </c>
      <c r="L59" s="12">
        <v>550528.44999999995</v>
      </c>
      <c r="M59" s="12">
        <f t="shared" si="0"/>
        <v>3922782.4800000004</v>
      </c>
      <c r="N59" s="12">
        <v>449905.52</v>
      </c>
      <c r="O59" s="12">
        <v>760286.04</v>
      </c>
      <c r="P59" s="12">
        <v>498629.81</v>
      </c>
      <c r="Q59" s="12">
        <f t="shared" si="1"/>
        <v>5631603.8499999996</v>
      </c>
    </row>
    <row r="60" spans="1:17" x14ac:dyDescent="0.25">
      <c r="A60" s="5" t="s">
        <v>79</v>
      </c>
      <c r="B60" s="18">
        <v>137</v>
      </c>
      <c r="C60" s="12">
        <v>30606.87</v>
      </c>
      <c r="D60" s="12">
        <v>17125.32</v>
      </c>
      <c r="E60" s="12">
        <v>157202.22</v>
      </c>
      <c r="F60" s="12">
        <v>21017.37</v>
      </c>
      <c r="G60" s="12">
        <v>4750.13</v>
      </c>
      <c r="H60" s="12">
        <v>0</v>
      </c>
      <c r="I60" s="12">
        <v>0</v>
      </c>
      <c r="J60" s="12">
        <v>0</v>
      </c>
      <c r="K60" s="12">
        <v>8261.9699999999993</v>
      </c>
      <c r="L60" s="12">
        <v>0</v>
      </c>
      <c r="M60" s="12">
        <f t="shared" si="0"/>
        <v>238963.88</v>
      </c>
      <c r="N60" s="12">
        <v>27679.89</v>
      </c>
      <c r="O60" s="12">
        <v>47895.53</v>
      </c>
      <c r="P60" s="12">
        <v>25841.79</v>
      </c>
      <c r="Q60" s="12">
        <f t="shared" si="1"/>
        <v>340381.09</v>
      </c>
    </row>
    <row r="61" spans="1:17" x14ac:dyDescent="0.25">
      <c r="A61" s="5" t="s">
        <v>80</v>
      </c>
      <c r="B61" s="18">
        <v>73</v>
      </c>
      <c r="C61" s="12">
        <v>6310.86</v>
      </c>
      <c r="D61" s="12">
        <v>5068.38</v>
      </c>
      <c r="E61" s="12">
        <v>29529.49</v>
      </c>
      <c r="F61" s="12">
        <v>4275.55</v>
      </c>
      <c r="G61" s="12">
        <v>2052.1799999999998</v>
      </c>
      <c r="H61" s="12">
        <v>1592.31</v>
      </c>
      <c r="I61" s="12">
        <v>413.49</v>
      </c>
      <c r="J61" s="12">
        <v>0</v>
      </c>
      <c r="K61" s="12">
        <v>970.53</v>
      </c>
      <c r="L61" s="12">
        <v>0</v>
      </c>
      <c r="M61" s="12">
        <f t="shared" si="0"/>
        <v>50212.79</v>
      </c>
      <c r="N61" s="12">
        <v>6543.29</v>
      </c>
      <c r="O61" s="12">
        <v>9862.23</v>
      </c>
      <c r="P61" s="12">
        <v>5996.03</v>
      </c>
      <c r="Q61" s="12">
        <f t="shared" si="1"/>
        <v>72614.34</v>
      </c>
    </row>
    <row r="62" spans="1:17" x14ac:dyDescent="0.25">
      <c r="A62" s="5" t="s">
        <v>81</v>
      </c>
      <c r="B62" s="18">
        <v>605</v>
      </c>
      <c r="C62" s="12">
        <v>66428.83</v>
      </c>
      <c r="D62" s="12">
        <v>92080.84</v>
      </c>
      <c r="E62" s="12">
        <v>429559.35</v>
      </c>
      <c r="F62" s="12">
        <v>61528.55</v>
      </c>
      <c r="G62" s="12">
        <v>10889.97</v>
      </c>
      <c r="H62" s="12">
        <v>4900.68</v>
      </c>
      <c r="I62" s="12">
        <v>0</v>
      </c>
      <c r="J62" s="12">
        <v>0</v>
      </c>
      <c r="K62" s="12">
        <v>18986.93</v>
      </c>
      <c r="L62" s="12">
        <v>16334.96</v>
      </c>
      <c r="M62" s="12">
        <f t="shared" si="0"/>
        <v>700710.1100000001</v>
      </c>
      <c r="N62" s="12">
        <v>82491.100000000006</v>
      </c>
      <c r="O62" s="12">
        <v>139052.4</v>
      </c>
      <c r="P62" s="12">
        <v>102801.43</v>
      </c>
      <c r="Q62" s="12">
        <f t="shared" si="1"/>
        <v>1025055.04</v>
      </c>
    </row>
    <row r="63" spans="1:17" x14ac:dyDescent="0.25">
      <c r="A63" s="5" t="s">
        <v>82</v>
      </c>
      <c r="B63" s="18">
        <v>140</v>
      </c>
      <c r="C63" s="12">
        <v>6386.97</v>
      </c>
      <c r="D63" s="12">
        <v>7697.04</v>
      </c>
      <c r="E63" s="12">
        <v>25308.51</v>
      </c>
      <c r="F63" s="12">
        <v>0</v>
      </c>
      <c r="G63" s="12">
        <v>1622.62</v>
      </c>
      <c r="H63" s="12">
        <v>2245.88</v>
      </c>
      <c r="I63" s="12">
        <v>575.58000000000004</v>
      </c>
      <c r="J63" s="12">
        <v>0</v>
      </c>
      <c r="K63" s="12">
        <v>0</v>
      </c>
      <c r="L63" s="12">
        <v>40.619999999999997</v>
      </c>
      <c r="M63" s="12">
        <f t="shared" si="0"/>
        <v>43877.22</v>
      </c>
      <c r="N63" s="12">
        <v>5515.61</v>
      </c>
      <c r="O63" s="12">
        <v>8433.94</v>
      </c>
      <c r="P63" s="12">
        <v>6250.55</v>
      </c>
      <c r="Q63" s="12">
        <f t="shared" si="1"/>
        <v>64077.320000000007</v>
      </c>
    </row>
    <row r="64" spans="1:17" x14ac:dyDescent="0.25">
      <c r="A64" s="5" t="s">
        <v>83</v>
      </c>
      <c r="B64" s="18">
        <v>230</v>
      </c>
      <c r="C64" s="12">
        <v>14609.15</v>
      </c>
      <c r="D64" s="12">
        <v>14192.52</v>
      </c>
      <c r="E64" s="12">
        <v>49471.54</v>
      </c>
      <c r="F64" s="12">
        <v>6945.4</v>
      </c>
      <c r="G64" s="12">
        <v>4789.8599999999997</v>
      </c>
      <c r="H64" s="12">
        <v>4191.3599999999997</v>
      </c>
      <c r="I64" s="12">
        <v>1915.97</v>
      </c>
      <c r="J64" s="12">
        <v>5987.39</v>
      </c>
      <c r="K64" s="12">
        <v>812.78</v>
      </c>
      <c r="L64" s="12">
        <v>0</v>
      </c>
      <c r="M64" s="12">
        <f t="shared" si="0"/>
        <v>102915.96999999999</v>
      </c>
      <c r="N64" s="38">
        <v>13453.65</v>
      </c>
      <c r="O64" s="12">
        <v>20382.400000000001</v>
      </c>
      <c r="P64" s="12">
        <v>13631.38</v>
      </c>
      <c r="Q64" s="12">
        <f t="shared" si="1"/>
        <v>150383.4</v>
      </c>
    </row>
    <row r="65" spans="1:17" x14ac:dyDescent="0.25">
      <c r="A65" s="5" t="s">
        <v>84</v>
      </c>
      <c r="B65" s="18">
        <v>12</v>
      </c>
      <c r="C65" s="12">
        <v>1848.02</v>
      </c>
      <c r="D65" s="12">
        <v>2952.63</v>
      </c>
      <c r="E65" s="12">
        <v>6801.34</v>
      </c>
      <c r="F65" s="12">
        <v>817.98</v>
      </c>
      <c r="G65" s="12">
        <v>424.14</v>
      </c>
      <c r="H65" s="12">
        <v>636.21</v>
      </c>
      <c r="I65" s="12">
        <v>0</v>
      </c>
      <c r="J65" s="12">
        <v>0</v>
      </c>
      <c r="K65" s="12">
        <v>199.09</v>
      </c>
      <c r="L65" s="12">
        <v>0</v>
      </c>
      <c r="M65" s="12">
        <f t="shared" si="0"/>
        <v>13679.41</v>
      </c>
      <c r="N65" s="12">
        <v>1845.6</v>
      </c>
      <c r="O65" s="12">
        <v>2735.86</v>
      </c>
      <c r="P65" s="12">
        <v>1355.93</v>
      </c>
      <c r="Q65" s="12">
        <f t="shared" si="1"/>
        <v>19616.8</v>
      </c>
    </row>
    <row r="66" spans="1:17" x14ac:dyDescent="0.25">
      <c r="A66" s="5" t="s">
        <v>85</v>
      </c>
      <c r="B66" s="18">
        <v>206</v>
      </c>
      <c r="C66" s="12">
        <v>22201.75</v>
      </c>
      <c r="D66" s="12">
        <v>11282.84</v>
      </c>
      <c r="E66" s="12">
        <v>85299.75</v>
      </c>
      <c r="F66" s="12">
        <v>14558.5</v>
      </c>
      <c r="G66" s="12">
        <v>7279.25</v>
      </c>
      <c r="H66" s="12">
        <v>4367.4399999999996</v>
      </c>
      <c r="I66" s="12">
        <v>727.96</v>
      </c>
      <c r="J66" s="12">
        <v>0</v>
      </c>
      <c r="K66" s="12">
        <v>706.25</v>
      </c>
      <c r="L66" s="12">
        <v>0</v>
      </c>
      <c r="M66" s="12">
        <f t="shared" si="0"/>
        <v>146423.74</v>
      </c>
      <c r="N66" s="12">
        <v>18136.68</v>
      </c>
      <c r="O66" s="12">
        <v>29694.880000000001</v>
      </c>
      <c r="P66" s="12">
        <v>19152.439999999999</v>
      </c>
      <c r="Q66" s="12">
        <f t="shared" si="1"/>
        <v>213407.74</v>
      </c>
    </row>
    <row r="67" spans="1:17" x14ac:dyDescent="0.25">
      <c r="A67" s="5" t="s">
        <v>86</v>
      </c>
      <c r="B67" s="18">
        <v>56</v>
      </c>
      <c r="C67" s="12">
        <v>4109.32</v>
      </c>
      <c r="D67" s="12">
        <v>6364.87</v>
      </c>
      <c r="E67" s="12">
        <v>16437.599999999999</v>
      </c>
      <c r="F67" s="12">
        <v>5322.06</v>
      </c>
      <c r="G67" s="12">
        <v>1010.5</v>
      </c>
      <c r="H67" s="12">
        <v>2088.39</v>
      </c>
      <c r="I67" s="12">
        <v>707.35</v>
      </c>
      <c r="J67" s="12">
        <v>0</v>
      </c>
      <c r="K67" s="12">
        <v>532.47</v>
      </c>
      <c r="L67" s="12">
        <v>611.97</v>
      </c>
      <c r="M67" s="12">
        <f t="shared" si="0"/>
        <v>37184.53</v>
      </c>
      <c r="N67" s="12">
        <v>4736.28</v>
      </c>
      <c r="O67" s="12">
        <v>7448.07</v>
      </c>
      <c r="P67" s="12">
        <v>4508.0200000000004</v>
      </c>
      <c r="Q67" s="12">
        <f t="shared" si="1"/>
        <v>53876.899999999994</v>
      </c>
    </row>
    <row r="68" spans="1:17" x14ac:dyDescent="0.25">
      <c r="A68" s="5" t="s">
        <v>87</v>
      </c>
      <c r="B68" s="18">
        <v>0</v>
      </c>
      <c r="C68" s="12">
        <v>0</v>
      </c>
      <c r="D68" s="12">
        <v>0</v>
      </c>
      <c r="E68" s="12">
        <v>0</v>
      </c>
      <c r="F68" s="12">
        <v>0</v>
      </c>
      <c r="G68" s="12">
        <v>0</v>
      </c>
      <c r="H68" s="12">
        <v>0</v>
      </c>
      <c r="I68" s="12">
        <v>0</v>
      </c>
      <c r="J68" s="12">
        <v>0</v>
      </c>
      <c r="K68" s="12">
        <v>0</v>
      </c>
      <c r="L68" s="12">
        <v>0</v>
      </c>
      <c r="M68" s="12">
        <f t="shared" si="0"/>
        <v>0</v>
      </c>
      <c r="N68" s="12">
        <v>0</v>
      </c>
      <c r="O68" s="12">
        <v>0</v>
      </c>
      <c r="P68" s="12">
        <v>0</v>
      </c>
      <c r="Q68" s="12">
        <f t="shared" ref="Q68:Q99" si="2">SUM(M68:P68)</f>
        <v>0</v>
      </c>
    </row>
    <row r="69" spans="1:17" x14ac:dyDescent="0.25">
      <c r="A69" s="5" t="s">
        <v>88</v>
      </c>
      <c r="B69" s="18">
        <v>48</v>
      </c>
      <c r="C69" s="12">
        <v>3235.49</v>
      </c>
      <c r="D69" s="12">
        <v>4083.14</v>
      </c>
      <c r="E69" s="12">
        <v>12570.82</v>
      </c>
      <c r="F69" s="12">
        <v>2890.8</v>
      </c>
      <c r="G69" s="12">
        <v>1060.8399999999999</v>
      </c>
      <c r="H69" s="12">
        <v>1643.91</v>
      </c>
      <c r="I69" s="12">
        <v>318.24</v>
      </c>
      <c r="J69" s="12">
        <v>0</v>
      </c>
      <c r="K69" s="12">
        <v>125.44</v>
      </c>
      <c r="L69" s="12">
        <v>0</v>
      </c>
      <c r="M69" s="12">
        <f t="shared" ref="M69:M123" si="3">SUM(C69:L69)</f>
        <v>25928.679999999997</v>
      </c>
      <c r="N69" s="12">
        <v>3364.29</v>
      </c>
      <c r="O69" s="12">
        <v>5128.2</v>
      </c>
      <c r="P69" s="12">
        <v>4552.1499999999996</v>
      </c>
      <c r="Q69" s="12">
        <f t="shared" si="2"/>
        <v>38973.32</v>
      </c>
    </row>
    <row r="70" spans="1:17" x14ac:dyDescent="0.25">
      <c r="A70" s="5" t="s">
        <v>89</v>
      </c>
      <c r="B70" s="18">
        <v>124</v>
      </c>
      <c r="C70" s="12">
        <v>6586.66</v>
      </c>
      <c r="D70" s="12">
        <v>7064.89</v>
      </c>
      <c r="E70" s="12">
        <v>28514.59</v>
      </c>
      <c r="F70" s="12">
        <v>4211.16</v>
      </c>
      <c r="G70" s="12">
        <v>4319.16</v>
      </c>
      <c r="H70" s="12">
        <v>2748.03</v>
      </c>
      <c r="I70" s="12">
        <v>593.88</v>
      </c>
      <c r="J70" s="12">
        <v>0</v>
      </c>
      <c r="K70" s="12">
        <v>56.01</v>
      </c>
      <c r="L70" s="12">
        <v>0</v>
      </c>
      <c r="M70" s="12">
        <f t="shared" si="3"/>
        <v>54094.380000000005</v>
      </c>
      <c r="N70" s="12">
        <v>6809.27</v>
      </c>
      <c r="O70" s="12">
        <v>10822.11</v>
      </c>
      <c r="P70" s="12">
        <v>7108.31</v>
      </c>
      <c r="Q70" s="12">
        <f t="shared" si="2"/>
        <v>78834.070000000007</v>
      </c>
    </row>
    <row r="71" spans="1:17" x14ac:dyDescent="0.25">
      <c r="A71" s="5" t="s">
        <v>90</v>
      </c>
      <c r="B71" s="18">
        <v>86</v>
      </c>
      <c r="C71" s="12">
        <v>3048.9</v>
      </c>
      <c r="D71" s="12">
        <v>3441.22</v>
      </c>
      <c r="E71" s="12">
        <v>10263.67</v>
      </c>
      <c r="F71" s="12">
        <v>1523.38</v>
      </c>
      <c r="G71" s="12">
        <v>849.06</v>
      </c>
      <c r="H71" s="12">
        <v>1397.93</v>
      </c>
      <c r="I71" s="12">
        <v>0</v>
      </c>
      <c r="J71" s="12">
        <v>0</v>
      </c>
      <c r="K71" s="12">
        <v>1448.97</v>
      </c>
      <c r="L71" s="12">
        <v>0</v>
      </c>
      <c r="M71" s="12">
        <f t="shared" si="3"/>
        <v>21973.130000000005</v>
      </c>
      <c r="N71" s="12">
        <v>2903.06</v>
      </c>
      <c r="O71" s="12">
        <v>4446.3999999999996</v>
      </c>
      <c r="P71" s="12">
        <v>3040.23</v>
      </c>
      <c r="Q71" s="12">
        <f t="shared" si="2"/>
        <v>32362.820000000003</v>
      </c>
    </row>
    <row r="72" spans="1:17" x14ac:dyDescent="0.25">
      <c r="A72" s="5" t="s">
        <v>91</v>
      </c>
      <c r="B72" s="18">
        <v>71</v>
      </c>
      <c r="C72" s="12">
        <v>5515.79</v>
      </c>
      <c r="D72" s="12">
        <v>4508.1499999999996</v>
      </c>
      <c r="E72" s="12">
        <v>19847.84</v>
      </c>
      <c r="F72" s="12">
        <v>3255.24</v>
      </c>
      <c r="G72" s="12">
        <v>1808.46</v>
      </c>
      <c r="H72" s="12">
        <v>1763.29</v>
      </c>
      <c r="I72" s="12">
        <v>0</v>
      </c>
      <c r="J72" s="12">
        <v>0</v>
      </c>
      <c r="K72" s="12">
        <v>2458.96</v>
      </c>
      <c r="L72" s="12">
        <v>1952.59</v>
      </c>
      <c r="M72" s="12">
        <f t="shared" si="3"/>
        <v>41110.319999999992</v>
      </c>
      <c r="N72" s="12">
        <v>5176.8500000000004</v>
      </c>
      <c r="O72" s="12">
        <v>8321.4599999999991</v>
      </c>
      <c r="P72" s="12">
        <v>4799.72</v>
      </c>
      <c r="Q72" s="12">
        <f t="shared" si="2"/>
        <v>59408.349999999991</v>
      </c>
    </row>
    <row r="73" spans="1:17" x14ac:dyDescent="0.25">
      <c r="A73" s="5" t="s">
        <v>92</v>
      </c>
      <c r="B73" s="18">
        <v>25</v>
      </c>
      <c r="C73" s="12">
        <v>2324.06</v>
      </c>
      <c r="D73" s="12">
        <v>2467.04</v>
      </c>
      <c r="E73" s="12">
        <v>8496.2000000000007</v>
      </c>
      <c r="F73" s="12">
        <v>0</v>
      </c>
      <c r="G73" s="12">
        <v>571.5</v>
      </c>
      <c r="H73" s="12">
        <v>876.27</v>
      </c>
      <c r="I73" s="12">
        <v>293.39</v>
      </c>
      <c r="J73" s="12">
        <v>0</v>
      </c>
      <c r="K73" s="12">
        <v>1749.42</v>
      </c>
      <c r="L73" s="12">
        <v>0</v>
      </c>
      <c r="M73" s="12">
        <f t="shared" si="3"/>
        <v>16777.88</v>
      </c>
      <c r="N73" s="12">
        <v>2161.4</v>
      </c>
      <c r="O73" s="12">
        <v>3365.59</v>
      </c>
      <c r="P73" s="12">
        <v>2032.76</v>
      </c>
      <c r="Q73" s="12">
        <f t="shared" si="2"/>
        <v>24337.63</v>
      </c>
    </row>
    <row r="74" spans="1:17" x14ac:dyDescent="0.25">
      <c r="A74" s="5" t="s">
        <v>93</v>
      </c>
      <c r="B74" s="18">
        <v>33</v>
      </c>
      <c r="C74" s="12">
        <v>6974.31</v>
      </c>
      <c r="D74" s="12">
        <v>7962.3</v>
      </c>
      <c r="E74" s="12">
        <v>39977.31</v>
      </c>
      <c r="F74" s="12">
        <v>4973.5</v>
      </c>
      <c r="G74" s="12">
        <v>1143.3399999999999</v>
      </c>
      <c r="H74" s="12">
        <v>2686.84</v>
      </c>
      <c r="I74" s="12">
        <v>857.53</v>
      </c>
      <c r="J74" s="12">
        <v>0</v>
      </c>
      <c r="K74" s="12">
        <v>0</v>
      </c>
      <c r="L74" s="12">
        <v>668.14</v>
      </c>
      <c r="M74" s="12">
        <f t="shared" si="3"/>
        <v>65243.26999999999</v>
      </c>
      <c r="N74" s="12">
        <v>8154.49</v>
      </c>
      <c r="O74" s="12">
        <v>13022.26</v>
      </c>
      <c r="P74" s="12">
        <v>6808.14</v>
      </c>
      <c r="Q74" s="12">
        <f t="shared" si="2"/>
        <v>93228.159999999989</v>
      </c>
    </row>
    <row r="75" spans="1:17" x14ac:dyDescent="0.25">
      <c r="A75" s="5" t="s">
        <v>94</v>
      </c>
      <c r="B75" s="18">
        <v>52</v>
      </c>
      <c r="C75" s="12">
        <v>4579.2299999999996</v>
      </c>
      <c r="D75" s="12">
        <v>4404.3</v>
      </c>
      <c r="E75" s="12">
        <v>15949.84</v>
      </c>
      <c r="F75" s="12">
        <v>1952.77</v>
      </c>
      <c r="G75" s="12">
        <v>938.17</v>
      </c>
      <c r="H75" s="12">
        <v>1501.39</v>
      </c>
      <c r="I75" s="12">
        <v>0</v>
      </c>
      <c r="J75" s="12">
        <v>2889.51</v>
      </c>
      <c r="K75" s="12">
        <v>695.79</v>
      </c>
      <c r="L75" s="12">
        <v>0</v>
      </c>
      <c r="M75" s="12">
        <f t="shared" si="3"/>
        <v>32911</v>
      </c>
      <c r="N75" s="12">
        <v>4325.7700000000004</v>
      </c>
      <c r="O75" s="12">
        <v>6571.82</v>
      </c>
      <c r="P75" s="12">
        <v>3779.96</v>
      </c>
      <c r="Q75" s="12">
        <f t="shared" si="2"/>
        <v>47588.55</v>
      </c>
    </row>
    <row r="76" spans="1:17" x14ac:dyDescent="0.25">
      <c r="A76" s="5" t="s">
        <v>95</v>
      </c>
      <c r="B76" s="18">
        <v>219</v>
      </c>
      <c r="C76" s="12">
        <v>24722.82</v>
      </c>
      <c r="D76" s="12">
        <v>23614.98</v>
      </c>
      <c r="E76" s="12">
        <v>69243.22</v>
      </c>
      <c r="F76" s="12">
        <v>12158.78</v>
      </c>
      <c r="G76" s="12">
        <v>4863.57</v>
      </c>
      <c r="H76" s="12">
        <v>2431.7399999999998</v>
      </c>
      <c r="I76" s="12">
        <v>0</v>
      </c>
      <c r="J76" s="12">
        <v>0</v>
      </c>
      <c r="K76" s="12">
        <v>6496.24</v>
      </c>
      <c r="L76" s="12">
        <v>3871.89</v>
      </c>
      <c r="M76" s="12">
        <f t="shared" si="3"/>
        <v>147403.24</v>
      </c>
      <c r="N76" s="12">
        <v>17967.25</v>
      </c>
      <c r="O76" s="12">
        <v>29086.44</v>
      </c>
      <c r="P76" s="12">
        <v>17609.28</v>
      </c>
      <c r="Q76" s="12">
        <f t="shared" si="2"/>
        <v>212066.21</v>
      </c>
    </row>
    <row r="77" spans="1:17" x14ac:dyDescent="0.25">
      <c r="A77" s="5" t="s">
        <v>96</v>
      </c>
      <c r="B77" s="18">
        <v>49</v>
      </c>
      <c r="C77" s="12">
        <v>3777.15</v>
      </c>
      <c r="D77" s="12">
        <v>2941.4</v>
      </c>
      <c r="E77" s="12">
        <v>12303.41</v>
      </c>
      <c r="F77" s="12">
        <v>2377.36</v>
      </c>
      <c r="G77" s="12">
        <v>1238.3900000000001</v>
      </c>
      <c r="H77" s="12">
        <v>0</v>
      </c>
      <c r="I77" s="12">
        <v>491.97</v>
      </c>
      <c r="J77" s="12">
        <v>0</v>
      </c>
      <c r="K77" s="12">
        <v>3099.03</v>
      </c>
      <c r="L77" s="12">
        <v>0</v>
      </c>
      <c r="M77" s="12">
        <f t="shared" si="3"/>
        <v>26228.71</v>
      </c>
      <c r="N77" s="12">
        <v>3296.46</v>
      </c>
      <c r="O77" s="12">
        <v>5294.74</v>
      </c>
      <c r="P77" s="12">
        <v>3357.87</v>
      </c>
      <c r="Q77" s="12">
        <f t="shared" si="2"/>
        <v>38177.78</v>
      </c>
    </row>
    <row r="78" spans="1:17" x14ac:dyDescent="0.25">
      <c r="A78" s="5" t="s">
        <v>97</v>
      </c>
      <c r="B78" s="18">
        <v>6</v>
      </c>
      <c r="C78" s="12">
        <v>51.49</v>
      </c>
      <c r="D78" s="12">
        <v>131.93</v>
      </c>
      <c r="E78" s="12">
        <v>219.45</v>
      </c>
      <c r="F78" s="12">
        <v>16.03</v>
      </c>
      <c r="G78" s="12">
        <v>15.62</v>
      </c>
      <c r="H78" s="12">
        <v>13.51</v>
      </c>
      <c r="I78" s="12">
        <v>5.5</v>
      </c>
      <c r="J78" s="12">
        <v>0</v>
      </c>
      <c r="K78" s="12">
        <v>0</v>
      </c>
      <c r="L78" s="12">
        <v>0</v>
      </c>
      <c r="M78" s="12">
        <f t="shared" si="3"/>
        <v>453.53</v>
      </c>
      <c r="N78" s="12">
        <v>49.89</v>
      </c>
      <c r="O78" s="12">
        <v>88.31</v>
      </c>
      <c r="P78" s="12">
        <v>128.15</v>
      </c>
      <c r="Q78" s="12">
        <f t="shared" si="2"/>
        <v>719.88</v>
      </c>
    </row>
    <row r="79" spans="1:17" x14ac:dyDescent="0.25">
      <c r="A79" s="5" t="s">
        <v>98</v>
      </c>
      <c r="B79" s="18">
        <v>247</v>
      </c>
      <c r="C79" s="12">
        <v>42574.720000000001</v>
      </c>
      <c r="D79" s="12">
        <v>31187.86</v>
      </c>
      <c r="E79" s="12">
        <v>209126.07</v>
      </c>
      <c r="F79" s="12">
        <v>19542.39</v>
      </c>
      <c r="G79" s="12">
        <v>17448.650000000001</v>
      </c>
      <c r="H79" s="12">
        <v>5234.74</v>
      </c>
      <c r="I79" s="12">
        <v>0</v>
      </c>
      <c r="J79" s="12">
        <v>16774.3</v>
      </c>
      <c r="K79" s="12">
        <v>0</v>
      </c>
      <c r="L79" s="12">
        <v>591.58000000000004</v>
      </c>
      <c r="M79" s="12">
        <f t="shared" si="3"/>
        <v>342480.31000000006</v>
      </c>
      <c r="N79" s="12">
        <v>40396.230000000003</v>
      </c>
      <c r="O79" s="12">
        <v>68543.88</v>
      </c>
      <c r="P79" s="12">
        <v>37711.379999999997</v>
      </c>
      <c r="Q79" s="12">
        <f t="shared" si="2"/>
        <v>489131.80000000005</v>
      </c>
    </row>
    <row r="80" spans="1:17" x14ac:dyDescent="0.25">
      <c r="A80" s="5" t="s">
        <v>99</v>
      </c>
      <c r="B80" s="18">
        <v>35</v>
      </c>
      <c r="C80" s="12">
        <v>2750.91</v>
      </c>
      <c r="D80" s="12">
        <v>7808.11</v>
      </c>
      <c r="E80" s="12">
        <v>8996.7900000000009</v>
      </c>
      <c r="F80" s="12">
        <v>1420.55</v>
      </c>
      <c r="G80" s="12">
        <v>1803.87</v>
      </c>
      <c r="H80" s="12">
        <v>1668.6</v>
      </c>
      <c r="I80" s="12">
        <v>293.14</v>
      </c>
      <c r="J80" s="12">
        <v>0</v>
      </c>
      <c r="K80" s="12">
        <v>16.21</v>
      </c>
      <c r="L80" s="12">
        <v>0</v>
      </c>
      <c r="M80" s="12">
        <f t="shared" si="3"/>
        <v>24758.179999999997</v>
      </c>
      <c r="N80" s="12">
        <v>3245.44</v>
      </c>
      <c r="O80" s="12">
        <v>4916.6400000000003</v>
      </c>
      <c r="P80" s="12">
        <v>2773.32</v>
      </c>
      <c r="Q80" s="12">
        <f t="shared" si="2"/>
        <v>35693.579999999994</v>
      </c>
    </row>
    <row r="81" spans="1:17" x14ac:dyDescent="0.25">
      <c r="A81" s="5" t="s">
        <v>100</v>
      </c>
      <c r="B81" s="18">
        <v>37</v>
      </c>
      <c r="C81" s="12">
        <v>3396.97</v>
      </c>
      <c r="D81" s="12">
        <v>2794.13</v>
      </c>
      <c r="E81" s="12">
        <v>14701.66</v>
      </c>
      <c r="F81" s="12">
        <v>1364.38</v>
      </c>
      <c r="G81" s="12">
        <v>835.31</v>
      </c>
      <c r="H81" s="12">
        <v>835.31</v>
      </c>
      <c r="I81" s="12">
        <v>0</v>
      </c>
      <c r="J81" s="12">
        <v>0</v>
      </c>
      <c r="K81" s="12">
        <v>0</v>
      </c>
      <c r="L81" s="12">
        <v>306.27999999999997</v>
      </c>
      <c r="M81" s="12">
        <f t="shared" si="3"/>
        <v>24234.040000000005</v>
      </c>
      <c r="N81" s="12">
        <v>3136.45</v>
      </c>
      <c r="O81" s="12">
        <v>4755.72</v>
      </c>
      <c r="P81" s="12">
        <v>4275.8900000000003</v>
      </c>
      <c r="Q81" s="12">
        <f t="shared" si="2"/>
        <v>36402.100000000006</v>
      </c>
    </row>
    <row r="82" spans="1:17" x14ac:dyDescent="0.25">
      <c r="A82" s="5" t="s">
        <v>101</v>
      </c>
      <c r="B82" s="18">
        <v>45</v>
      </c>
      <c r="C82" s="12">
        <v>11851.79</v>
      </c>
      <c r="D82" s="12">
        <v>9714.59</v>
      </c>
      <c r="E82" s="12">
        <v>39052.629999999997</v>
      </c>
      <c r="F82" s="12">
        <v>9423.16</v>
      </c>
      <c r="G82" s="12">
        <v>7286.03</v>
      </c>
      <c r="H82" s="12">
        <v>1748.6</v>
      </c>
      <c r="I82" s="12">
        <v>485.8</v>
      </c>
      <c r="J82" s="12">
        <v>0</v>
      </c>
      <c r="K82" s="12">
        <v>7859.82</v>
      </c>
      <c r="L82" s="12">
        <v>12407.03</v>
      </c>
      <c r="M82" s="12">
        <f t="shared" si="3"/>
        <v>99829.450000000012</v>
      </c>
      <c r="N82" s="12">
        <v>13048.71</v>
      </c>
      <c r="O82" s="12">
        <v>20057.54</v>
      </c>
      <c r="P82" s="12">
        <v>10433.780000000001</v>
      </c>
      <c r="Q82" s="12">
        <f t="shared" si="2"/>
        <v>143369.48000000001</v>
      </c>
    </row>
    <row r="83" spans="1:17" x14ac:dyDescent="0.25">
      <c r="A83" s="5" t="s">
        <v>102</v>
      </c>
      <c r="B83" s="18">
        <v>100</v>
      </c>
      <c r="C83" s="12">
        <v>5412.21</v>
      </c>
      <c r="D83" s="12">
        <v>5519.73</v>
      </c>
      <c r="E83" s="12">
        <v>23955.56</v>
      </c>
      <c r="F83" s="12">
        <v>4968.58</v>
      </c>
      <c r="G83" s="12">
        <v>1552.65</v>
      </c>
      <c r="H83" s="12">
        <v>2129.37</v>
      </c>
      <c r="I83" s="12">
        <v>0</v>
      </c>
      <c r="J83" s="12">
        <v>0</v>
      </c>
      <c r="K83" s="12">
        <v>0</v>
      </c>
      <c r="L83" s="12">
        <v>279.83999999999997</v>
      </c>
      <c r="M83" s="12">
        <f t="shared" si="3"/>
        <v>43817.94</v>
      </c>
      <c r="N83" s="12">
        <v>5656.9</v>
      </c>
      <c r="O83" s="12">
        <v>8843.5499999999993</v>
      </c>
      <c r="P83" s="12">
        <v>5821.87</v>
      </c>
      <c r="Q83" s="12">
        <f t="shared" si="2"/>
        <v>64140.26</v>
      </c>
    </row>
    <row r="84" spans="1:17" x14ac:dyDescent="0.25">
      <c r="A84" s="5" t="s">
        <v>103</v>
      </c>
      <c r="B84" s="18">
        <v>25</v>
      </c>
      <c r="C84" s="12">
        <v>1513.88</v>
      </c>
      <c r="D84" s="12">
        <v>3839.15</v>
      </c>
      <c r="E84" s="12">
        <v>5584.11</v>
      </c>
      <c r="F84" s="12">
        <v>831.43</v>
      </c>
      <c r="G84" s="12">
        <v>992.74</v>
      </c>
      <c r="H84" s="12">
        <v>496.35</v>
      </c>
      <c r="I84" s="12">
        <v>0</v>
      </c>
      <c r="J84" s="12">
        <v>0</v>
      </c>
      <c r="K84" s="12">
        <v>0</v>
      </c>
      <c r="L84" s="12">
        <f>981.2+88.58</f>
        <v>1069.78</v>
      </c>
      <c r="M84" s="12">
        <f t="shared" si="3"/>
        <v>14327.44</v>
      </c>
      <c r="N84" s="12">
        <v>1670.07</v>
      </c>
      <c r="O84" s="12">
        <v>2601.5100000000002</v>
      </c>
      <c r="P84" s="12">
        <v>1663.25</v>
      </c>
      <c r="Q84" s="12">
        <f t="shared" si="2"/>
        <v>20262.27</v>
      </c>
    </row>
    <row r="85" spans="1:17" x14ac:dyDescent="0.25">
      <c r="A85" s="5" t="s">
        <v>104</v>
      </c>
      <c r="B85" s="18">
        <v>88</v>
      </c>
      <c r="C85" s="12">
        <v>6884.2</v>
      </c>
      <c r="D85" s="12">
        <v>12189.82</v>
      </c>
      <c r="E85" s="12">
        <v>26238.84</v>
      </c>
      <c r="F85" s="12">
        <v>5529.94</v>
      </c>
      <c r="G85" s="12">
        <v>1523.64</v>
      </c>
      <c r="H85" s="12">
        <v>2144.27</v>
      </c>
      <c r="I85" s="12">
        <v>451.43</v>
      </c>
      <c r="J85" s="12">
        <v>0</v>
      </c>
      <c r="K85" s="12">
        <v>4245.1000000000004</v>
      </c>
      <c r="L85" s="12">
        <v>374.48</v>
      </c>
      <c r="M85" s="12">
        <f t="shared" ref="M85" si="4">SUM(C85:L85)</f>
        <v>59581.72</v>
      </c>
      <c r="N85" s="12">
        <v>7789.73</v>
      </c>
      <c r="O85" s="12">
        <v>11916.37</v>
      </c>
      <c r="P85" s="12">
        <v>7806.18</v>
      </c>
      <c r="Q85" s="12">
        <f t="shared" ref="Q85" si="5">SUM(M85:P85)</f>
        <v>87094</v>
      </c>
    </row>
    <row r="86" spans="1:17" x14ac:dyDescent="0.25">
      <c r="A86" s="5" t="s">
        <v>105</v>
      </c>
      <c r="B86" s="18">
        <v>46</v>
      </c>
      <c r="C86" s="12">
        <v>1635.1</v>
      </c>
      <c r="D86" s="12">
        <v>1526.12</v>
      </c>
      <c r="E86" s="12">
        <v>5680.34</v>
      </c>
      <c r="F86" s="12">
        <v>1146.58</v>
      </c>
      <c r="G86" s="12">
        <v>1067.3599999999999</v>
      </c>
      <c r="H86" s="12">
        <v>799.74</v>
      </c>
      <c r="I86" s="12">
        <v>790.08</v>
      </c>
      <c r="J86" s="12">
        <v>0</v>
      </c>
      <c r="K86" s="12">
        <v>1164.77</v>
      </c>
      <c r="L86" s="12">
        <v>92.63</v>
      </c>
      <c r="M86" s="12">
        <f t="shared" si="3"/>
        <v>13902.72</v>
      </c>
      <c r="N86" s="12">
        <v>1778.49</v>
      </c>
      <c r="O86" s="12">
        <v>2872.54</v>
      </c>
      <c r="P86" s="12">
        <v>2080.27</v>
      </c>
      <c r="Q86" s="12">
        <f t="shared" si="2"/>
        <v>20634.02</v>
      </c>
    </row>
    <row r="87" spans="1:17" x14ac:dyDescent="0.25">
      <c r="A87" s="5" t="s">
        <v>106</v>
      </c>
      <c r="B87" s="18">
        <v>89</v>
      </c>
      <c r="C87" s="12">
        <v>17202.57</v>
      </c>
      <c r="D87" s="12">
        <v>13390.32</v>
      </c>
      <c r="E87" s="12">
        <v>77414.929999999993</v>
      </c>
      <c r="F87" s="12">
        <v>15239.88</v>
      </c>
      <c r="G87" s="12">
        <v>5629.13</v>
      </c>
      <c r="H87" s="12">
        <v>4923.37</v>
      </c>
      <c r="I87" s="12">
        <v>984.61</v>
      </c>
      <c r="J87" s="12">
        <v>0</v>
      </c>
      <c r="K87" s="12">
        <v>6468.73</v>
      </c>
      <c r="L87" s="12">
        <v>0</v>
      </c>
      <c r="M87" s="12">
        <f t="shared" si="3"/>
        <v>141253.54</v>
      </c>
      <c r="N87" s="12">
        <v>17150.07</v>
      </c>
      <c r="O87" s="12">
        <v>28443.93</v>
      </c>
      <c r="P87" s="12">
        <v>15855.81</v>
      </c>
      <c r="Q87" s="12">
        <f t="shared" si="2"/>
        <v>202703.35</v>
      </c>
    </row>
    <row r="88" spans="1:17" x14ac:dyDescent="0.25">
      <c r="A88" s="5" t="s">
        <v>107</v>
      </c>
      <c r="B88" s="18">
        <v>19</v>
      </c>
      <c r="C88" s="12">
        <v>1035.24</v>
      </c>
      <c r="D88" s="12">
        <v>701</v>
      </c>
      <c r="E88" s="12">
        <v>4251.2</v>
      </c>
      <c r="F88" s="12">
        <v>610.96</v>
      </c>
      <c r="G88" s="12">
        <v>0</v>
      </c>
      <c r="H88" s="12">
        <v>636.41</v>
      </c>
      <c r="I88" s="12">
        <v>127.3</v>
      </c>
      <c r="J88" s="12">
        <v>0</v>
      </c>
      <c r="K88" s="12">
        <v>0</v>
      </c>
      <c r="L88" s="12">
        <v>500.63</v>
      </c>
      <c r="M88" s="12">
        <f t="shared" si="3"/>
        <v>7862.74</v>
      </c>
      <c r="N88" s="12">
        <v>1019.94</v>
      </c>
      <c r="O88" s="12">
        <v>1616.79</v>
      </c>
      <c r="P88" s="12">
        <v>1074.7</v>
      </c>
      <c r="Q88" s="12">
        <f t="shared" si="2"/>
        <v>11574.170000000002</v>
      </c>
    </row>
    <row r="89" spans="1:17" x14ac:dyDescent="0.25">
      <c r="A89" s="5" t="s">
        <v>108</v>
      </c>
      <c r="B89" s="18">
        <v>1</v>
      </c>
      <c r="C89" s="12">
        <v>87.94</v>
      </c>
      <c r="D89" s="12">
        <v>71.44</v>
      </c>
      <c r="E89" s="12">
        <v>330.85</v>
      </c>
      <c r="F89" s="12">
        <v>42.53</v>
      </c>
      <c r="G89" s="12">
        <v>28.83</v>
      </c>
      <c r="H89" s="12">
        <v>36.04</v>
      </c>
      <c r="I89" s="12">
        <v>12.98</v>
      </c>
      <c r="J89" s="12">
        <v>46.85</v>
      </c>
      <c r="K89" s="12">
        <v>0</v>
      </c>
      <c r="L89" s="12">
        <v>0</v>
      </c>
      <c r="M89" s="12">
        <f t="shared" si="3"/>
        <v>657.46</v>
      </c>
      <c r="N89" s="12">
        <v>85.11</v>
      </c>
      <c r="O89" s="12">
        <v>131.88999999999999</v>
      </c>
      <c r="P89" s="12">
        <v>79.95</v>
      </c>
      <c r="Q89" s="12">
        <f t="shared" si="2"/>
        <v>954.41000000000008</v>
      </c>
    </row>
    <row r="90" spans="1:17" x14ac:dyDescent="0.25">
      <c r="A90" s="5" t="s">
        <v>109</v>
      </c>
      <c r="B90" s="18">
        <v>75</v>
      </c>
      <c r="C90" s="12">
        <v>6543.73</v>
      </c>
      <c r="D90" s="12">
        <v>4090.32</v>
      </c>
      <c r="E90" s="12">
        <v>26496.73</v>
      </c>
      <c r="F90" s="12">
        <v>3315.17</v>
      </c>
      <c r="G90" s="12">
        <v>2681.86</v>
      </c>
      <c r="H90" s="12">
        <v>2516.31</v>
      </c>
      <c r="I90" s="12">
        <v>0</v>
      </c>
      <c r="J90" s="12">
        <v>3325.5</v>
      </c>
      <c r="K90" s="12">
        <v>4013.63</v>
      </c>
      <c r="L90" s="12"/>
      <c r="M90" s="12">
        <f t="shared" si="3"/>
        <v>52983.249999999993</v>
      </c>
      <c r="N90" s="12">
        <v>6649.82</v>
      </c>
      <c r="O90" s="12">
        <v>10671.65</v>
      </c>
      <c r="P90" s="12">
        <v>6385.78</v>
      </c>
      <c r="Q90" s="12">
        <f t="shared" si="2"/>
        <v>76690.499999999985</v>
      </c>
    </row>
    <row r="91" spans="1:17" x14ac:dyDescent="0.25">
      <c r="A91" s="5" t="s">
        <v>110</v>
      </c>
      <c r="B91" s="18">
        <v>32</v>
      </c>
      <c r="C91" s="12">
        <v>2001.01</v>
      </c>
      <c r="D91" s="12">
        <v>984.1</v>
      </c>
      <c r="E91" s="12">
        <v>8053.26</v>
      </c>
      <c r="F91" s="12">
        <v>1443.35</v>
      </c>
      <c r="G91" s="12">
        <v>1640.18</v>
      </c>
      <c r="H91" s="12">
        <v>1919.03</v>
      </c>
      <c r="I91" s="12">
        <v>295.24</v>
      </c>
      <c r="J91" s="12">
        <v>0</v>
      </c>
      <c r="K91" s="12">
        <v>0</v>
      </c>
      <c r="L91" s="12">
        <v>1253.6600000000001</v>
      </c>
      <c r="M91" s="12">
        <f t="shared" si="3"/>
        <v>17589.830000000002</v>
      </c>
      <c r="N91" s="12">
        <v>2349.91</v>
      </c>
      <c r="O91" s="12">
        <v>3581.98</v>
      </c>
      <c r="P91" s="12">
        <v>2069</v>
      </c>
      <c r="Q91" s="12">
        <f t="shared" si="2"/>
        <v>25590.720000000001</v>
      </c>
    </row>
    <row r="92" spans="1:17" x14ac:dyDescent="0.25">
      <c r="A92" s="5" t="s">
        <v>111</v>
      </c>
      <c r="B92" s="18">
        <v>110</v>
      </c>
      <c r="C92" s="12">
        <v>7227.74</v>
      </c>
      <c r="D92" s="12">
        <v>6372.87</v>
      </c>
      <c r="E92" s="12">
        <v>29444.14</v>
      </c>
      <c r="F92" s="12">
        <v>4917.24</v>
      </c>
      <c r="G92" s="12">
        <v>1066.3900000000001</v>
      </c>
      <c r="H92" s="12">
        <v>1125.6400000000001</v>
      </c>
      <c r="I92" s="12">
        <v>307.99</v>
      </c>
      <c r="J92" s="12">
        <v>0</v>
      </c>
      <c r="K92" s="12">
        <v>1.5</v>
      </c>
      <c r="L92" s="12">
        <f>311.07+533.23</f>
        <v>844.3</v>
      </c>
      <c r="M92" s="12">
        <f t="shared" si="3"/>
        <v>51307.81</v>
      </c>
      <c r="N92" s="12">
        <v>6456.62</v>
      </c>
      <c r="O92" s="12">
        <v>10195.57</v>
      </c>
      <c r="P92" s="12">
        <v>6747.49</v>
      </c>
      <c r="Q92" s="12">
        <f t="shared" si="2"/>
        <v>74707.490000000005</v>
      </c>
    </row>
    <row r="93" spans="1:17" x14ac:dyDescent="0.25">
      <c r="A93" s="5" t="s">
        <v>112</v>
      </c>
      <c r="B93" s="18">
        <v>117</v>
      </c>
      <c r="C93" s="12">
        <v>13383.39</v>
      </c>
      <c r="D93" s="12">
        <v>17091.16</v>
      </c>
      <c r="E93" s="12">
        <v>40202.199999999997</v>
      </c>
      <c r="F93" s="12">
        <v>8776</v>
      </c>
      <c r="G93" s="12">
        <v>0</v>
      </c>
      <c r="H93" s="12">
        <v>1097.05</v>
      </c>
      <c r="I93" s="12">
        <v>548.69000000000005</v>
      </c>
      <c r="J93" s="12">
        <v>0</v>
      </c>
      <c r="K93" s="12">
        <v>3877.04</v>
      </c>
      <c r="L93" s="12">
        <v>0</v>
      </c>
      <c r="M93" s="12">
        <f t="shared" si="3"/>
        <v>84975.53</v>
      </c>
      <c r="N93" s="12">
        <v>10372.33</v>
      </c>
      <c r="O93" s="12">
        <v>16948.36</v>
      </c>
      <c r="P93" s="12">
        <v>13383.15</v>
      </c>
      <c r="Q93" s="12">
        <f t="shared" si="2"/>
        <v>125679.37</v>
      </c>
    </row>
    <row r="94" spans="1:17" x14ac:dyDescent="0.25">
      <c r="A94" s="5" t="s">
        <v>113</v>
      </c>
      <c r="B94" s="18">
        <v>14</v>
      </c>
      <c r="C94" s="12">
        <v>1180.21</v>
      </c>
      <c r="D94" s="12">
        <v>1389.95</v>
      </c>
      <c r="E94" s="12">
        <v>3714.73</v>
      </c>
      <c r="F94" s="12">
        <v>609.42999999999995</v>
      </c>
      <c r="G94" s="12">
        <v>386.95</v>
      </c>
      <c r="H94" s="12">
        <v>0</v>
      </c>
      <c r="I94" s="12">
        <v>0</v>
      </c>
      <c r="J94" s="12">
        <v>0</v>
      </c>
      <c r="K94" s="12">
        <v>493.29</v>
      </c>
      <c r="L94" s="12">
        <v>0</v>
      </c>
      <c r="M94" s="12">
        <f t="shared" si="3"/>
        <v>7774.5599999999995</v>
      </c>
      <c r="N94" s="12">
        <v>1021.54</v>
      </c>
      <c r="O94" s="12">
        <v>1534.55</v>
      </c>
      <c r="P94" s="12">
        <v>959.33</v>
      </c>
      <c r="Q94" s="12">
        <f t="shared" si="2"/>
        <v>11289.979999999998</v>
      </c>
    </row>
    <row r="95" spans="1:17" x14ac:dyDescent="0.25">
      <c r="A95" s="5" t="s">
        <v>114</v>
      </c>
      <c r="B95" s="18">
        <v>63</v>
      </c>
      <c r="C95" s="12">
        <v>3202.36</v>
      </c>
      <c r="D95" s="12">
        <v>1968.64</v>
      </c>
      <c r="E95" s="12">
        <v>11838.16</v>
      </c>
      <c r="F95" s="12">
        <v>1679.93</v>
      </c>
      <c r="G95" s="12">
        <v>918.75</v>
      </c>
      <c r="H95" s="12">
        <v>551.24</v>
      </c>
      <c r="I95" s="12">
        <v>157.49</v>
      </c>
      <c r="J95" s="12">
        <v>28.88</v>
      </c>
      <c r="K95" s="12">
        <v>0</v>
      </c>
      <c r="L95" s="12">
        <v>0</v>
      </c>
      <c r="M95" s="12">
        <f t="shared" si="3"/>
        <v>20345.450000000004</v>
      </c>
      <c r="N95" s="12">
        <v>2477.54</v>
      </c>
      <c r="O95" s="12">
        <v>4006.09</v>
      </c>
      <c r="P95" s="12">
        <v>2948.01</v>
      </c>
      <c r="Q95" s="12">
        <f t="shared" si="2"/>
        <v>29777.090000000004</v>
      </c>
    </row>
    <row r="96" spans="1:17" x14ac:dyDescent="0.25">
      <c r="A96" s="5" t="s">
        <v>115</v>
      </c>
      <c r="B96" s="18">
        <v>128</v>
      </c>
      <c r="C96" s="12">
        <v>23102.23</v>
      </c>
      <c r="D96" s="12">
        <v>19166.990000000002</v>
      </c>
      <c r="E96" s="12">
        <v>88016.05</v>
      </c>
      <c r="F96" s="12">
        <v>6051.18</v>
      </c>
      <c r="G96" s="12">
        <v>3786.17</v>
      </c>
      <c r="H96" s="12">
        <v>0</v>
      </c>
      <c r="I96" s="12">
        <v>0</v>
      </c>
      <c r="J96" s="12">
        <v>8971.67</v>
      </c>
      <c r="K96" s="12">
        <v>18265.7</v>
      </c>
      <c r="L96" s="12">
        <v>42532.47</v>
      </c>
      <c r="M96" s="12">
        <f t="shared" si="3"/>
        <v>209892.46000000005</v>
      </c>
      <c r="N96" s="12">
        <v>23956.43</v>
      </c>
      <c r="O96" s="12">
        <v>43538.58</v>
      </c>
      <c r="P96" s="12">
        <v>22671.41</v>
      </c>
      <c r="Q96" s="12">
        <f t="shared" si="2"/>
        <v>300058.88</v>
      </c>
    </row>
    <row r="97" spans="1:17" x14ac:dyDescent="0.25">
      <c r="A97" s="5" t="s">
        <v>156</v>
      </c>
      <c r="B97" s="18">
        <v>42</v>
      </c>
      <c r="C97" s="12">
        <v>2572.27</v>
      </c>
      <c r="D97" s="12">
        <v>3181.26</v>
      </c>
      <c r="E97" s="12">
        <v>12376.62</v>
      </c>
      <c r="F97" s="12">
        <v>1180.71</v>
      </c>
      <c r="G97" s="12">
        <v>864.5</v>
      </c>
      <c r="H97" s="12">
        <v>2614.4899999999998</v>
      </c>
      <c r="I97" s="12">
        <v>337.33</v>
      </c>
      <c r="J97" s="12">
        <v>0</v>
      </c>
      <c r="K97" s="12">
        <v>1696.29</v>
      </c>
      <c r="L97" s="12">
        <v>0</v>
      </c>
      <c r="M97" s="12">
        <f t="shared" si="3"/>
        <v>24823.47</v>
      </c>
      <c r="N97" s="12">
        <v>3167.9</v>
      </c>
      <c r="O97" s="12">
        <v>4922.72</v>
      </c>
      <c r="P97" s="12">
        <v>3049.36</v>
      </c>
      <c r="Q97" s="12">
        <f t="shared" si="2"/>
        <v>35963.450000000004</v>
      </c>
    </row>
    <row r="98" spans="1:17" x14ac:dyDescent="0.25">
      <c r="A98" s="5" t="s">
        <v>116</v>
      </c>
      <c r="B98" s="18">
        <v>11</v>
      </c>
      <c r="C98" s="12">
        <v>1276.46</v>
      </c>
      <c r="D98" s="12">
        <v>1638.11</v>
      </c>
      <c r="E98" s="12">
        <v>4509.46</v>
      </c>
      <c r="F98" s="12">
        <v>1653.11</v>
      </c>
      <c r="G98" s="12">
        <v>523.14</v>
      </c>
      <c r="H98" s="12">
        <v>1538.04</v>
      </c>
      <c r="I98" s="12">
        <v>575.46</v>
      </c>
      <c r="J98" s="12">
        <v>0</v>
      </c>
      <c r="K98" s="12">
        <v>17.86</v>
      </c>
      <c r="L98" s="12">
        <v>130.81</v>
      </c>
      <c r="M98" s="12">
        <f t="shared" si="3"/>
        <v>11862.449999999999</v>
      </c>
      <c r="N98" s="12">
        <v>1572.14</v>
      </c>
      <c r="O98" s="12">
        <v>2370.29</v>
      </c>
      <c r="P98" s="12">
        <v>1339.14</v>
      </c>
      <c r="Q98" s="12">
        <f t="shared" si="2"/>
        <v>17144.019999999997</v>
      </c>
    </row>
    <row r="99" spans="1:17" x14ac:dyDescent="0.25">
      <c r="A99" s="5" t="s">
        <v>117</v>
      </c>
      <c r="B99" s="18">
        <v>54</v>
      </c>
      <c r="C99" s="12">
        <v>3208.18</v>
      </c>
      <c r="D99" s="12">
        <v>4154.8599999999997</v>
      </c>
      <c r="E99" s="12">
        <v>15962.02</v>
      </c>
      <c r="F99" s="12">
        <v>2682.24</v>
      </c>
      <c r="G99" s="12">
        <v>1525.21</v>
      </c>
      <c r="H99" s="12">
        <v>1420.01</v>
      </c>
      <c r="I99" s="12">
        <v>341.87</v>
      </c>
      <c r="J99" s="12">
        <v>0</v>
      </c>
      <c r="K99" s="12">
        <v>683.13</v>
      </c>
      <c r="L99" s="12">
        <v>2918.13</v>
      </c>
      <c r="M99" s="12">
        <f t="shared" si="3"/>
        <v>32895.649999999994</v>
      </c>
      <c r="N99" s="12">
        <v>4266.46</v>
      </c>
      <c r="O99" s="12">
        <v>6667.82</v>
      </c>
      <c r="P99" s="12">
        <v>3829.6</v>
      </c>
      <c r="Q99" s="12">
        <f t="shared" si="2"/>
        <v>47659.529999999992</v>
      </c>
    </row>
    <row r="100" spans="1:17" x14ac:dyDescent="0.25">
      <c r="A100" s="5" t="s">
        <v>118</v>
      </c>
      <c r="B100" s="18">
        <v>154</v>
      </c>
      <c r="C100" s="12">
        <v>14845.95</v>
      </c>
      <c r="D100" s="12">
        <v>12780.11</v>
      </c>
      <c r="E100" s="12">
        <v>59619.18</v>
      </c>
      <c r="F100" s="12">
        <v>17383.91</v>
      </c>
      <c r="G100" s="12">
        <v>4255.57</v>
      </c>
      <c r="H100" s="12">
        <v>3042.29</v>
      </c>
      <c r="I100" s="12">
        <v>1094.33</v>
      </c>
      <c r="J100" s="12">
        <v>0</v>
      </c>
      <c r="K100" s="12">
        <v>0</v>
      </c>
      <c r="L100" s="12">
        <v>955.84</v>
      </c>
      <c r="M100" s="12">
        <f t="shared" si="3"/>
        <v>113977.18</v>
      </c>
      <c r="N100" s="12">
        <v>14373.93</v>
      </c>
      <c r="O100" s="12">
        <v>22918.52</v>
      </c>
      <c r="P100" s="12">
        <v>13505.68</v>
      </c>
      <c r="Q100" s="12">
        <f t="shared" ref="Q100:Q123" si="6">SUM(M100:P100)</f>
        <v>164775.30999999997</v>
      </c>
    </row>
    <row r="101" spans="1:17" x14ac:dyDescent="0.25">
      <c r="A101" s="5" t="s">
        <v>119</v>
      </c>
      <c r="B101" s="18">
        <v>407</v>
      </c>
      <c r="C101" s="12">
        <v>24460.9</v>
      </c>
      <c r="D101" s="12">
        <v>27711</v>
      </c>
      <c r="E101" s="12">
        <v>96679.14</v>
      </c>
      <c r="F101" s="12">
        <v>17643.97</v>
      </c>
      <c r="G101" s="12">
        <v>12030.01</v>
      </c>
      <c r="H101" s="12">
        <v>4410.99</v>
      </c>
      <c r="I101" s="12">
        <v>802.09</v>
      </c>
      <c r="J101" s="12">
        <v>0</v>
      </c>
      <c r="K101" s="12">
        <v>65.36</v>
      </c>
      <c r="L101" s="12">
        <v>34786.879999999997</v>
      </c>
      <c r="M101" s="12">
        <f t="shared" si="3"/>
        <v>218590.34</v>
      </c>
      <c r="N101" s="12">
        <v>27129.33</v>
      </c>
      <c r="O101" s="12">
        <v>43962.3</v>
      </c>
      <c r="P101" s="12">
        <v>27679.24</v>
      </c>
      <c r="Q101" s="12">
        <f t="shared" si="6"/>
        <v>317361.20999999996</v>
      </c>
    </row>
    <row r="102" spans="1:17" x14ac:dyDescent="0.25">
      <c r="A102" s="5" t="s">
        <v>120</v>
      </c>
      <c r="B102" s="18">
        <v>32</v>
      </c>
      <c r="C102" s="12">
        <v>2181.5300000000002</v>
      </c>
      <c r="D102" s="12">
        <v>1720.45</v>
      </c>
      <c r="E102" s="12">
        <v>6313.55</v>
      </c>
      <c r="F102" s="12">
        <v>817.3</v>
      </c>
      <c r="G102" s="12">
        <v>694.03</v>
      </c>
      <c r="H102" s="12">
        <v>521.84</v>
      </c>
      <c r="I102" s="12">
        <v>0</v>
      </c>
      <c r="J102" s="12">
        <v>0</v>
      </c>
      <c r="K102" s="12">
        <v>0.23</v>
      </c>
      <c r="L102" s="12">
        <v>0</v>
      </c>
      <c r="M102" s="12">
        <f t="shared" si="3"/>
        <v>12248.93</v>
      </c>
      <c r="N102" s="12">
        <v>1473.69</v>
      </c>
      <c r="O102" s="12">
        <v>2449.8000000000002</v>
      </c>
      <c r="P102" s="12">
        <v>1544.89</v>
      </c>
      <c r="Q102" s="12">
        <f t="shared" si="6"/>
        <v>17717.310000000001</v>
      </c>
    </row>
    <row r="103" spans="1:17" x14ac:dyDescent="0.25">
      <c r="A103" s="5" t="s">
        <v>121</v>
      </c>
      <c r="B103" s="18">
        <v>209</v>
      </c>
      <c r="C103" s="12">
        <v>21166.52</v>
      </c>
      <c r="D103" s="12">
        <v>8841.9599999999991</v>
      </c>
      <c r="E103" s="12">
        <v>68161.94</v>
      </c>
      <c r="F103" s="12">
        <v>11095.63</v>
      </c>
      <c r="G103" s="12">
        <v>5200.6499999999996</v>
      </c>
      <c r="H103" s="12">
        <v>2428.29</v>
      </c>
      <c r="I103" s="12">
        <v>0</v>
      </c>
      <c r="J103" s="12">
        <v>0</v>
      </c>
      <c r="K103" s="12">
        <v>0</v>
      </c>
      <c r="L103" s="12">
        <v>0</v>
      </c>
      <c r="M103" s="12">
        <f t="shared" si="3"/>
        <v>116894.98999999999</v>
      </c>
      <c r="N103" s="12">
        <v>14937.96</v>
      </c>
      <c r="O103" s="12">
        <v>23653.33</v>
      </c>
      <c r="P103" s="12">
        <v>18132.34</v>
      </c>
      <c r="Q103" s="12">
        <f t="shared" si="6"/>
        <v>173618.61999999997</v>
      </c>
    </row>
    <row r="104" spans="1:17" x14ac:dyDescent="0.25">
      <c r="A104" s="5" t="s">
        <v>122</v>
      </c>
      <c r="B104" s="18">
        <v>0</v>
      </c>
      <c r="C104" s="12">
        <v>0</v>
      </c>
      <c r="D104" s="12">
        <v>0</v>
      </c>
      <c r="E104" s="12">
        <v>0</v>
      </c>
      <c r="F104" s="12">
        <v>0</v>
      </c>
      <c r="G104" s="12">
        <v>0</v>
      </c>
      <c r="H104" s="12">
        <v>0</v>
      </c>
      <c r="I104" s="12">
        <v>0</v>
      </c>
      <c r="J104" s="12">
        <v>0</v>
      </c>
      <c r="K104" s="12">
        <v>0</v>
      </c>
      <c r="L104" s="12">
        <v>0</v>
      </c>
      <c r="M104" s="12">
        <f t="shared" si="3"/>
        <v>0</v>
      </c>
      <c r="N104" s="12">
        <v>0</v>
      </c>
      <c r="O104" s="12">
        <v>0</v>
      </c>
      <c r="P104" s="12">
        <v>0</v>
      </c>
      <c r="Q104" s="12">
        <f t="shared" si="6"/>
        <v>0</v>
      </c>
    </row>
    <row r="105" spans="1:17" x14ac:dyDescent="0.25">
      <c r="A105" s="5" t="s">
        <v>123</v>
      </c>
      <c r="B105" s="18">
        <v>42</v>
      </c>
      <c r="C105" s="12">
        <v>2698.54</v>
      </c>
      <c r="D105" s="12">
        <v>1915.42</v>
      </c>
      <c r="E105" s="12">
        <v>8869.84</v>
      </c>
      <c r="F105" s="12">
        <v>1238.68</v>
      </c>
      <c r="G105" s="12">
        <v>920.16</v>
      </c>
      <c r="H105" s="12">
        <v>796.28</v>
      </c>
      <c r="I105" s="12">
        <v>199.08</v>
      </c>
      <c r="J105" s="12">
        <v>0</v>
      </c>
      <c r="K105" s="12">
        <v>2.54</v>
      </c>
      <c r="L105" s="12">
        <v>0</v>
      </c>
      <c r="M105" s="12">
        <f t="shared" si="3"/>
        <v>16640.54</v>
      </c>
      <c r="N105" s="12">
        <v>2199.64</v>
      </c>
      <c r="O105" s="12">
        <v>3378.56</v>
      </c>
      <c r="P105" s="12">
        <v>2277.2600000000002</v>
      </c>
      <c r="Q105" s="12">
        <f t="shared" si="6"/>
        <v>24496</v>
      </c>
    </row>
    <row r="106" spans="1:17" x14ac:dyDescent="0.25">
      <c r="A106" s="5" t="s">
        <v>124</v>
      </c>
      <c r="B106" s="18">
        <v>79</v>
      </c>
      <c r="C106" s="12">
        <v>7658.06</v>
      </c>
      <c r="D106" s="12">
        <v>4679.55</v>
      </c>
      <c r="E106" s="12">
        <v>33394.379999999997</v>
      </c>
      <c r="F106" s="12">
        <v>2824.79</v>
      </c>
      <c r="G106" s="12">
        <v>0</v>
      </c>
      <c r="H106" s="12">
        <v>6026.06</v>
      </c>
      <c r="I106" s="12">
        <v>0</v>
      </c>
      <c r="J106" s="12">
        <v>0</v>
      </c>
      <c r="K106" s="12">
        <v>6.77</v>
      </c>
      <c r="L106" s="12">
        <v>0</v>
      </c>
      <c r="M106" s="12">
        <f t="shared" si="3"/>
        <v>54589.609999999993</v>
      </c>
      <c r="N106" s="12">
        <v>7216.37</v>
      </c>
      <c r="O106" s="12">
        <v>10902.14</v>
      </c>
      <c r="P106" s="12">
        <v>6596.57</v>
      </c>
      <c r="Q106" s="12">
        <f t="shared" si="6"/>
        <v>79304.69</v>
      </c>
    </row>
    <row r="107" spans="1:17" x14ac:dyDescent="0.25">
      <c r="A107" s="5" t="s">
        <v>125</v>
      </c>
      <c r="B107" s="18">
        <v>83</v>
      </c>
      <c r="C107" s="12">
        <v>5674.65</v>
      </c>
      <c r="D107" s="12">
        <v>3614.39</v>
      </c>
      <c r="E107" s="12">
        <v>22605.39</v>
      </c>
      <c r="F107" s="12">
        <v>2325.67</v>
      </c>
      <c r="G107" s="12">
        <v>2093.2600000000002</v>
      </c>
      <c r="H107" s="12">
        <v>1255.8599999999999</v>
      </c>
      <c r="I107" s="12">
        <v>418.65</v>
      </c>
      <c r="J107" s="12">
        <v>2558.39</v>
      </c>
      <c r="K107" s="12">
        <v>12.47</v>
      </c>
      <c r="L107" s="12">
        <v>3069.82</v>
      </c>
      <c r="M107" s="12">
        <f t="shared" si="3"/>
        <v>43628.55</v>
      </c>
      <c r="N107" s="12">
        <v>5754.85</v>
      </c>
      <c r="O107" s="12">
        <v>8792.11</v>
      </c>
      <c r="P107" s="12">
        <v>5143.1099999999997</v>
      </c>
      <c r="Q107" s="12">
        <f t="shared" si="6"/>
        <v>63318.62</v>
      </c>
    </row>
    <row r="108" spans="1:17" x14ac:dyDescent="0.25">
      <c r="A108" s="5" t="s">
        <v>126</v>
      </c>
      <c r="B108" s="18">
        <v>150</v>
      </c>
      <c r="C108" s="12">
        <v>22722.79</v>
      </c>
      <c r="D108" s="12">
        <v>14728.55</v>
      </c>
      <c r="E108" s="12">
        <v>84373.99</v>
      </c>
      <c r="F108" s="12">
        <v>12106.89</v>
      </c>
      <c r="G108" s="12">
        <v>4097.7</v>
      </c>
      <c r="H108" s="12">
        <v>3166.38</v>
      </c>
      <c r="I108" s="12">
        <v>0</v>
      </c>
      <c r="J108" s="12">
        <v>0</v>
      </c>
      <c r="K108" s="12">
        <v>0</v>
      </c>
      <c r="L108" s="12">
        <v>0</v>
      </c>
      <c r="M108" s="12">
        <f t="shared" si="3"/>
        <v>141196.30000000002</v>
      </c>
      <c r="N108" s="12">
        <v>17580.169999999998</v>
      </c>
      <c r="O108" s="12">
        <v>28089.35</v>
      </c>
      <c r="P108" s="12">
        <v>16144.67</v>
      </c>
      <c r="Q108" s="12">
        <f t="shared" si="6"/>
        <v>203010.49000000005</v>
      </c>
    </row>
    <row r="109" spans="1:17" x14ac:dyDescent="0.25">
      <c r="A109" s="5" t="s">
        <v>127</v>
      </c>
      <c r="B109" s="18">
        <v>138</v>
      </c>
      <c r="C109" s="12">
        <v>24297.97</v>
      </c>
      <c r="D109" s="12">
        <v>23012.02</v>
      </c>
      <c r="E109" s="12">
        <v>142402.26</v>
      </c>
      <c r="F109" s="12">
        <v>7468.74</v>
      </c>
      <c r="G109" s="12">
        <v>4122.75</v>
      </c>
      <c r="H109" s="12">
        <v>6970.69</v>
      </c>
      <c r="I109" s="12">
        <v>1991.66</v>
      </c>
      <c r="J109" s="12">
        <v>0</v>
      </c>
      <c r="K109" s="12">
        <v>13108.39</v>
      </c>
      <c r="L109" s="12">
        <v>6970.69</v>
      </c>
      <c r="M109" s="12">
        <f t="shared" si="3"/>
        <v>230345.16999999998</v>
      </c>
      <c r="N109" s="12">
        <v>27106.48</v>
      </c>
      <c r="O109" s="12">
        <v>46187.07</v>
      </c>
      <c r="P109" s="12">
        <v>24994.14</v>
      </c>
      <c r="Q109" s="12">
        <f t="shared" si="6"/>
        <v>328632.86</v>
      </c>
    </row>
    <row r="110" spans="1:17" x14ac:dyDescent="0.25">
      <c r="A110" s="5" t="s">
        <v>128</v>
      </c>
      <c r="B110" s="18">
        <v>60</v>
      </c>
      <c r="C110" s="12">
        <v>4701.5200000000004</v>
      </c>
      <c r="D110" s="12">
        <v>4726.26</v>
      </c>
      <c r="E110" s="12">
        <v>17765.509999999998</v>
      </c>
      <c r="F110" s="12">
        <v>0</v>
      </c>
      <c r="G110" s="12">
        <v>770.75</v>
      </c>
      <c r="H110" s="12">
        <v>2119.6799999999998</v>
      </c>
      <c r="I110" s="12">
        <v>0</v>
      </c>
      <c r="J110" s="12">
        <v>1503.07</v>
      </c>
      <c r="K110" s="12">
        <v>0</v>
      </c>
      <c r="L110" s="12">
        <v>0</v>
      </c>
      <c r="M110" s="12">
        <f>SUM(C110:L110)</f>
        <v>31586.79</v>
      </c>
      <c r="N110" s="12">
        <v>3926.27</v>
      </c>
      <c r="O110" s="12">
        <v>6263.98</v>
      </c>
      <c r="P110" s="12">
        <v>4014.01</v>
      </c>
      <c r="Q110" s="12">
        <f t="shared" si="6"/>
        <v>45791.049999999996</v>
      </c>
    </row>
    <row r="111" spans="1:17" x14ac:dyDescent="0.25">
      <c r="A111" s="5" t="s">
        <v>129</v>
      </c>
      <c r="B111" s="18">
        <v>81</v>
      </c>
      <c r="C111" s="12">
        <v>7858.01</v>
      </c>
      <c r="D111" s="12">
        <v>5911.03</v>
      </c>
      <c r="E111" s="12">
        <v>38646.04</v>
      </c>
      <c r="F111" s="12">
        <v>2576.4</v>
      </c>
      <c r="G111" s="12">
        <v>2209.2600000000002</v>
      </c>
      <c r="H111" s="12">
        <v>2834.09</v>
      </c>
      <c r="I111" s="12">
        <v>560.36</v>
      </c>
      <c r="J111" s="12">
        <v>0</v>
      </c>
      <c r="K111" s="12">
        <v>3010.44</v>
      </c>
      <c r="L111" s="12">
        <v>79.849999999999994</v>
      </c>
      <c r="M111" s="12">
        <f t="shared" si="3"/>
        <v>63685.48</v>
      </c>
      <c r="N111" s="12">
        <v>8100.15</v>
      </c>
      <c r="O111" s="12">
        <v>12688.44</v>
      </c>
      <c r="P111" s="12">
        <v>7559.29</v>
      </c>
      <c r="Q111" s="12">
        <f t="shared" si="6"/>
        <v>92033.36</v>
      </c>
    </row>
    <row r="112" spans="1:17" x14ac:dyDescent="0.25">
      <c r="A112" s="5" t="s">
        <v>130</v>
      </c>
      <c r="B112" s="18">
        <v>29</v>
      </c>
      <c r="C112" s="12">
        <v>3637.11</v>
      </c>
      <c r="D112" s="12">
        <v>2295.75</v>
      </c>
      <c r="E112" s="12">
        <v>5481</v>
      </c>
      <c r="F112" s="12">
        <v>1639.73</v>
      </c>
      <c r="G112" s="12">
        <v>1192.49</v>
      </c>
      <c r="H112" s="12">
        <v>983.83</v>
      </c>
      <c r="I112" s="12">
        <v>0</v>
      </c>
      <c r="J112" s="12">
        <v>0</v>
      </c>
      <c r="K112" s="12">
        <v>0</v>
      </c>
      <c r="L112" s="12">
        <v>2295.59</v>
      </c>
      <c r="M112" s="12">
        <f t="shared" si="3"/>
        <v>17525.5</v>
      </c>
      <c r="N112" s="12">
        <v>2349.59</v>
      </c>
      <c r="O112" s="12">
        <v>3505.1</v>
      </c>
      <c r="P112" s="12">
        <v>2042.58</v>
      </c>
      <c r="Q112" s="12">
        <f t="shared" si="6"/>
        <v>25422.769999999997</v>
      </c>
    </row>
    <row r="113" spans="1:19" x14ac:dyDescent="0.25">
      <c r="A113" s="5" t="s">
        <v>131</v>
      </c>
      <c r="B113" s="18">
        <v>48</v>
      </c>
      <c r="C113" s="12">
        <v>3548.11</v>
      </c>
      <c r="D113" s="12">
        <v>3167.2</v>
      </c>
      <c r="E113" s="12">
        <v>11022.46</v>
      </c>
      <c r="F113" s="12">
        <v>1221.48</v>
      </c>
      <c r="G113" s="12">
        <v>1250.57</v>
      </c>
      <c r="H113" s="12">
        <v>1017.89</v>
      </c>
      <c r="I113" s="12">
        <v>290.83</v>
      </c>
      <c r="J113" s="12">
        <v>0</v>
      </c>
      <c r="K113" s="12">
        <v>0</v>
      </c>
      <c r="L113" s="12">
        <v>176.03</v>
      </c>
      <c r="M113" s="12">
        <f t="shared" si="3"/>
        <v>21694.569999999996</v>
      </c>
      <c r="N113" s="12">
        <v>2801.9</v>
      </c>
      <c r="O113" s="12">
        <v>4368.05</v>
      </c>
      <c r="P113" s="12">
        <v>2855.99</v>
      </c>
      <c r="Q113" s="12">
        <f t="shared" si="6"/>
        <v>31720.509999999995</v>
      </c>
    </row>
    <row r="114" spans="1:19" x14ac:dyDescent="0.25">
      <c r="A114" s="5" t="s">
        <v>132</v>
      </c>
      <c r="B114" s="18">
        <v>35</v>
      </c>
      <c r="C114" s="12">
        <v>2705.87</v>
      </c>
      <c r="D114" s="12">
        <v>1774.3</v>
      </c>
      <c r="E114" s="12">
        <v>10845.48</v>
      </c>
      <c r="F114" s="12">
        <v>0</v>
      </c>
      <c r="G114" s="12">
        <v>0</v>
      </c>
      <c r="H114" s="12">
        <v>776.24</v>
      </c>
      <c r="I114" s="12">
        <v>0</v>
      </c>
      <c r="J114" s="12">
        <v>0</v>
      </c>
      <c r="K114" s="12">
        <v>860</v>
      </c>
      <c r="L114" s="12">
        <v>1774.3</v>
      </c>
      <c r="M114" s="12">
        <f t="shared" si="3"/>
        <v>18736.189999999999</v>
      </c>
      <c r="N114" s="12">
        <v>2525.9499999999998</v>
      </c>
      <c r="O114" s="12">
        <v>3746.87</v>
      </c>
      <c r="P114" s="12">
        <v>2223.44</v>
      </c>
      <c r="Q114" s="12">
        <f t="shared" si="6"/>
        <v>27232.449999999997</v>
      </c>
    </row>
    <row r="115" spans="1:19" x14ac:dyDescent="0.25">
      <c r="A115" s="5" t="s">
        <v>133</v>
      </c>
      <c r="B115" s="18">
        <v>53</v>
      </c>
      <c r="C115" s="12">
        <v>5914.12</v>
      </c>
      <c r="D115" s="12">
        <v>3949.16</v>
      </c>
      <c r="E115" s="12">
        <v>30152.36</v>
      </c>
      <c r="F115" s="12">
        <v>1939.06</v>
      </c>
      <c r="G115" s="12">
        <v>2036.01</v>
      </c>
      <c r="H115" s="12">
        <v>5768.7</v>
      </c>
      <c r="I115" s="12">
        <v>0</v>
      </c>
      <c r="J115" s="12">
        <v>0</v>
      </c>
      <c r="K115" s="12">
        <v>1.28</v>
      </c>
      <c r="L115" s="12">
        <v>198.42</v>
      </c>
      <c r="M115" s="12">
        <f t="shared" si="3"/>
        <v>49959.109999999993</v>
      </c>
      <c r="N115" s="12">
        <v>6700.29</v>
      </c>
      <c r="O115" s="12">
        <v>9991.84</v>
      </c>
      <c r="P115" s="12">
        <v>5764.39</v>
      </c>
      <c r="Q115" s="12">
        <f t="shared" si="6"/>
        <v>72415.62999999999</v>
      </c>
    </row>
    <row r="116" spans="1:19" x14ac:dyDescent="0.25">
      <c r="A116" s="5" t="s">
        <v>134</v>
      </c>
      <c r="B116" s="18">
        <v>58</v>
      </c>
      <c r="C116" s="12">
        <v>2997.81</v>
      </c>
      <c r="D116" s="12">
        <v>2595.4499999999998</v>
      </c>
      <c r="E116" s="12">
        <v>13215.18</v>
      </c>
      <c r="F116" s="12">
        <v>1791.19</v>
      </c>
      <c r="G116" s="12">
        <v>616.19000000000005</v>
      </c>
      <c r="H116" s="12">
        <v>906.7</v>
      </c>
      <c r="I116" s="12">
        <v>0</v>
      </c>
      <c r="J116" s="12">
        <v>0</v>
      </c>
      <c r="K116" s="12">
        <v>0</v>
      </c>
      <c r="L116" s="12">
        <v>6.4</v>
      </c>
      <c r="M116" s="12">
        <f t="shared" si="3"/>
        <v>22128.920000000002</v>
      </c>
      <c r="N116" s="12">
        <v>2768.19</v>
      </c>
      <c r="O116" s="12">
        <v>4472.38</v>
      </c>
      <c r="P116" s="12">
        <v>3048.19</v>
      </c>
      <c r="Q116" s="12">
        <f t="shared" si="6"/>
        <v>32417.68</v>
      </c>
    </row>
    <row r="117" spans="1:19" x14ac:dyDescent="0.25">
      <c r="A117" s="5" t="s">
        <v>135</v>
      </c>
      <c r="B117" s="18">
        <v>142</v>
      </c>
      <c r="C117" s="12">
        <v>39146</v>
      </c>
      <c r="D117" s="12">
        <v>49650</v>
      </c>
      <c r="E117" s="12">
        <v>103264.69</v>
      </c>
      <c r="F117" s="12">
        <v>13797.41</v>
      </c>
      <c r="G117" s="12">
        <v>6417.38</v>
      </c>
      <c r="H117" s="12">
        <v>1925.2</v>
      </c>
      <c r="I117" s="12">
        <v>962.65</v>
      </c>
      <c r="J117" s="12">
        <v>0</v>
      </c>
      <c r="K117" s="12">
        <v>1907.27</v>
      </c>
      <c r="L117" s="12">
        <v>2793.6</v>
      </c>
      <c r="M117" s="12">
        <f t="shared" si="3"/>
        <v>219864.2</v>
      </c>
      <c r="N117" s="12">
        <v>26974.1</v>
      </c>
      <c r="O117" s="12">
        <v>43632</v>
      </c>
      <c r="P117" s="12">
        <v>23804.04</v>
      </c>
      <c r="Q117" s="12">
        <f t="shared" si="6"/>
        <v>314274.34000000003</v>
      </c>
    </row>
    <row r="118" spans="1:19" x14ac:dyDescent="0.25">
      <c r="A118" s="5" t="s">
        <v>136</v>
      </c>
      <c r="B118" s="18">
        <v>20</v>
      </c>
      <c r="C118" s="12">
        <v>1349.16</v>
      </c>
      <c r="D118" s="12">
        <v>1220.45</v>
      </c>
      <c r="E118" s="12">
        <v>6071.22</v>
      </c>
      <c r="F118" s="12">
        <v>253.02</v>
      </c>
      <c r="G118" s="12">
        <v>724.38</v>
      </c>
      <c r="H118" s="12">
        <v>818.35</v>
      </c>
      <c r="I118" s="12">
        <v>0</v>
      </c>
      <c r="J118" s="12">
        <v>0</v>
      </c>
      <c r="K118" s="12">
        <v>262.18</v>
      </c>
      <c r="L118" s="12">
        <v>121.66</v>
      </c>
      <c r="M118" s="12">
        <f t="shared" si="3"/>
        <v>10820.42</v>
      </c>
      <c r="N118" s="12">
        <v>1321.72</v>
      </c>
      <c r="O118" s="12">
        <v>2128.08</v>
      </c>
      <c r="P118" s="12">
        <v>1344.09</v>
      </c>
      <c r="Q118" s="12">
        <f t="shared" si="6"/>
        <v>15614.31</v>
      </c>
    </row>
    <row r="119" spans="1:19" x14ac:dyDescent="0.25">
      <c r="A119" s="5" t="s">
        <v>137</v>
      </c>
      <c r="B119" s="18">
        <v>59</v>
      </c>
      <c r="C119" s="12">
        <v>3495.1</v>
      </c>
      <c r="D119" s="12">
        <v>3845.71</v>
      </c>
      <c r="E119" s="12">
        <v>10909.5</v>
      </c>
      <c r="F119" s="12">
        <v>2664.32</v>
      </c>
      <c r="G119" s="12">
        <v>859.45</v>
      </c>
      <c r="H119" s="12">
        <v>2492.44</v>
      </c>
      <c r="I119" s="12">
        <v>429.75</v>
      </c>
      <c r="J119" s="12">
        <v>131.41</v>
      </c>
      <c r="K119" s="12">
        <v>14.88</v>
      </c>
      <c r="L119" s="12">
        <v>0</v>
      </c>
      <c r="M119" s="12">
        <f t="shared" si="3"/>
        <v>24842.559999999998</v>
      </c>
      <c r="N119" s="12">
        <v>3255.94</v>
      </c>
      <c r="O119" s="12">
        <v>4921.3100000000004</v>
      </c>
      <c r="P119" s="12">
        <v>3345.63</v>
      </c>
      <c r="Q119" s="12">
        <f t="shared" si="6"/>
        <v>36365.439999999995</v>
      </c>
    </row>
    <row r="120" spans="1:19" x14ac:dyDescent="0.25">
      <c r="A120" s="5" t="s">
        <v>138</v>
      </c>
      <c r="B120" s="18">
        <v>69</v>
      </c>
      <c r="C120" s="12">
        <v>4107.7700000000004</v>
      </c>
      <c r="D120" s="12">
        <v>6504.99</v>
      </c>
      <c r="E120" s="12">
        <v>15824.99</v>
      </c>
      <c r="F120" s="12">
        <v>2175.13</v>
      </c>
      <c r="G120" s="12">
        <v>926.06</v>
      </c>
      <c r="H120" s="12">
        <v>2289.59</v>
      </c>
      <c r="I120" s="12">
        <v>0</v>
      </c>
      <c r="J120" s="12">
        <v>1354.81</v>
      </c>
      <c r="K120" s="12">
        <v>6.83</v>
      </c>
      <c r="L120" s="12">
        <v>0</v>
      </c>
      <c r="M120" s="12">
        <f t="shared" si="3"/>
        <v>33190.170000000006</v>
      </c>
      <c r="N120" s="12">
        <v>4118.1499999999996</v>
      </c>
      <c r="O120" s="12">
        <v>6506.05</v>
      </c>
      <c r="P120" s="12">
        <v>3865.03</v>
      </c>
      <c r="Q120" s="12">
        <f t="shared" si="6"/>
        <v>47679.400000000009</v>
      </c>
    </row>
    <row r="121" spans="1:19" x14ac:dyDescent="0.25">
      <c r="A121" s="5" t="s">
        <v>139</v>
      </c>
      <c r="B121" s="18">
        <v>198</v>
      </c>
      <c r="C121" s="12">
        <v>17261.52</v>
      </c>
      <c r="D121" s="12">
        <v>13214.04</v>
      </c>
      <c r="E121" s="12">
        <v>45376.57</v>
      </c>
      <c r="F121" s="12">
        <v>7357.38</v>
      </c>
      <c r="G121" s="12">
        <v>5659.57</v>
      </c>
      <c r="H121" s="12">
        <v>7498.98</v>
      </c>
      <c r="I121" s="12">
        <v>1980.85</v>
      </c>
      <c r="J121" s="12">
        <v>0</v>
      </c>
      <c r="K121" s="12">
        <v>0</v>
      </c>
      <c r="L121" s="12">
        <v>88.32</v>
      </c>
      <c r="M121" s="12">
        <f t="shared" si="3"/>
        <v>98437.230000000025</v>
      </c>
      <c r="N121" s="12">
        <v>12731.67</v>
      </c>
      <c r="O121" s="12">
        <v>19647.87</v>
      </c>
      <c r="P121" s="12">
        <v>12595.93</v>
      </c>
      <c r="Q121" s="12">
        <f t="shared" si="6"/>
        <v>143412.70000000001</v>
      </c>
    </row>
    <row r="122" spans="1:19" x14ac:dyDescent="0.25">
      <c r="A122" s="5" t="s">
        <v>140</v>
      </c>
      <c r="B122" s="18">
        <v>34</v>
      </c>
      <c r="C122" s="12">
        <v>2004.53</v>
      </c>
      <c r="D122" s="12">
        <v>1588.74</v>
      </c>
      <c r="E122" s="12">
        <v>5602.85</v>
      </c>
      <c r="F122" s="12">
        <v>1478.77</v>
      </c>
      <c r="G122" s="12">
        <v>657.24</v>
      </c>
      <c r="H122" s="12">
        <v>1889.54</v>
      </c>
      <c r="I122" s="12">
        <v>764.05</v>
      </c>
      <c r="J122" s="12">
        <v>0</v>
      </c>
      <c r="K122" s="12">
        <v>0</v>
      </c>
      <c r="L122" s="12">
        <v>16.71</v>
      </c>
      <c r="M122" s="12">
        <f t="shared" si="3"/>
        <v>14002.43</v>
      </c>
      <c r="N122" s="12">
        <v>1817.71</v>
      </c>
      <c r="O122" s="12">
        <v>2800.49</v>
      </c>
      <c r="P122" s="12">
        <v>2632.26</v>
      </c>
      <c r="Q122" s="12">
        <f t="shared" si="6"/>
        <v>21252.89</v>
      </c>
    </row>
    <row r="123" spans="1:19" x14ac:dyDescent="0.25">
      <c r="A123" s="7" t="s">
        <v>155</v>
      </c>
      <c r="B123" s="19">
        <v>13</v>
      </c>
      <c r="C123" s="15">
        <v>4000.09</v>
      </c>
      <c r="D123" s="15">
        <v>2295.13</v>
      </c>
      <c r="E123" s="15">
        <v>19508.650000000001</v>
      </c>
      <c r="F123" s="15">
        <v>2229.56</v>
      </c>
      <c r="G123" s="15">
        <v>655.75</v>
      </c>
      <c r="H123" s="15">
        <v>557.39</v>
      </c>
      <c r="I123" s="15">
        <v>0</v>
      </c>
      <c r="J123" s="15">
        <v>0</v>
      </c>
      <c r="K123" s="15">
        <v>348.76</v>
      </c>
      <c r="L123" s="15">
        <v>0</v>
      </c>
      <c r="M123" s="15">
        <f t="shared" si="3"/>
        <v>29595.33</v>
      </c>
      <c r="N123" s="15">
        <v>3773.6</v>
      </c>
      <c r="O123" s="15">
        <v>6135.05</v>
      </c>
      <c r="P123" s="15">
        <v>3197.53</v>
      </c>
      <c r="Q123" s="15">
        <f t="shared" si="6"/>
        <v>42701.51</v>
      </c>
    </row>
    <row r="124" spans="1:19" x14ac:dyDescent="0.25">
      <c r="A124" s="5" t="s">
        <v>141</v>
      </c>
      <c r="B124" s="29">
        <f>SUM(B4:B123)</f>
        <v>13393</v>
      </c>
      <c r="C124" s="30">
        <f t="shared" ref="C124:Q124" si="7">SUM(C4:C123)</f>
        <v>1563036.6100000003</v>
      </c>
      <c r="D124" s="30">
        <f t="shared" si="7"/>
        <v>1865011.17</v>
      </c>
      <c r="E124" s="30">
        <f t="shared" si="7"/>
        <v>7180608.8199999984</v>
      </c>
      <c r="F124" s="30">
        <f t="shared" si="7"/>
        <v>606975.85000000033</v>
      </c>
      <c r="G124" s="30">
        <f t="shared" si="7"/>
        <v>319210.47000000009</v>
      </c>
      <c r="H124" s="30">
        <f t="shared" si="7"/>
        <v>227814.19000000006</v>
      </c>
      <c r="I124" s="30">
        <f t="shared" si="7"/>
        <v>38514.470000000016</v>
      </c>
      <c r="J124" s="30">
        <f t="shared" si="7"/>
        <v>92312.250000000015</v>
      </c>
      <c r="K124" s="30">
        <f t="shared" si="7"/>
        <v>434525.77</v>
      </c>
      <c r="L124" s="30">
        <f t="shared" si="7"/>
        <v>780557.42999999982</v>
      </c>
      <c r="M124" s="30">
        <f t="shared" si="7"/>
        <v>13108567.030000001</v>
      </c>
      <c r="N124" s="30">
        <f t="shared" si="7"/>
        <v>1574378.7099999995</v>
      </c>
      <c r="O124" s="30">
        <f t="shared" si="7"/>
        <v>2605840.1799999992</v>
      </c>
      <c r="P124" s="30">
        <f t="shared" si="7"/>
        <v>1632116.2699999993</v>
      </c>
      <c r="Q124" s="30">
        <f t="shared" si="7"/>
        <v>18920902.190000005</v>
      </c>
    </row>
    <row r="126" spans="1:19" x14ac:dyDescent="0.25">
      <c r="B126" s="68" t="s">
        <v>172</v>
      </c>
      <c r="C126" s="68"/>
      <c r="D126" s="68"/>
      <c r="E126" s="68"/>
      <c r="F126" s="68"/>
      <c r="G126" s="68"/>
      <c r="H126" s="68"/>
      <c r="I126" s="68"/>
      <c r="J126" s="68"/>
      <c r="K126" s="68"/>
      <c r="L126" s="68"/>
      <c r="M126" s="68"/>
      <c r="N126" s="68"/>
      <c r="O126" s="68"/>
      <c r="P126" s="68"/>
      <c r="Q126" s="68"/>
      <c r="R126" s="68"/>
      <c r="S126" s="68"/>
    </row>
    <row r="127" spans="1:19" x14ac:dyDescent="0.25">
      <c r="B127" s="1"/>
      <c r="C127" s="1"/>
      <c r="D127" s="1"/>
      <c r="E127" s="1"/>
      <c r="F127" s="1"/>
      <c r="G127" s="1"/>
      <c r="H127" s="1"/>
      <c r="I127" s="1"/>
      <c r="J127" s="1"/>
      <c r="K127" s="1"/>
      <c r="L127" s="1"/>
      <c r="M127" s="1"/>
      <c r="N127" s="1"/>
      <c r="O127" s="1"/>
    </row>
    <row r="128" spans="1:19" x14ac:dyDescent="0.25">
      <c r="B128" s="2" t="s">
        <v>178</v>
      </c>
      <c r="C128" s="1"/>
      <c r="D128" s="1"/>
      <c r="E128" s="1"/>
      <c r="F128" s="1"/>
      <c r="G128" s="1"/>
      <c r="H128" s="1"/>
      <c r="I128" s="1"/>
      <c r="J128" s="1"/>
      <c r="K128" s="1"/>
      <c r="L128" s="1"/>
      <c r="M128" s="1"/>
      <c r="N128" s="1"/>
      <c r="O128" s="1"/>
    </row>
    <row r="129" spans="1:15" x14ac:dyDescent="0.25">
      <c r="B129" s="2"/>
      <c r="C129" s="1"/>
      <c r="D129" s="1"/>
      <c r="E129" s="1"/>
      <c r="F129" s="1"/>
      <c r="G129" s="1"/>
      <c r="H129" s="1"/>
      <c r="I129" s="1"/>
      <c r="J129" s="1"/>
      <c r="K129" s="1"/>
      <c r="L129" s="1"/>
      <c r="M129" s="1"/>
      <c r="N129" s="1"/>
      <c r="O129" s="1"/>
    </row>
    <row r="130" spans="1:15" x14ac:dyDescent="0.25">
      <c r="B130" s="1" t="s">
        <v>171</v>
      </c>
      <c r="C130" s="1"/>
      <c r="D130" s="1"/>
      <c r="E130" s="1"/>
      <c r="F130" s="1"/>
      <c r="G130" s="17"/>
      <c r="H130" s="17"/>
      <c r="I130" s="17"/>
      <c r="J130" s="17"/>
      <c r="K130" s="17"/>
      <c r="L130" s="17"/>
      <c r="M130" s="17"/>
      <c r="N130" s="17"/>
      <c r="O130" s="17"/>
    </row>
    <row r="131" spans="1:15" x14ac:dyDescent="0.25">
      <c r="B131" s="1" t="s">
        <v>145</v>
      </c>
      <c r="C131" s="1"/>
      <c r="D131" s="1"/>
      <c r="E131" s="1"/>
      <c r="F131" s="1"/>
      <c r="G131" s="17"/>
      <c r="H131" s="17"/>
      <c r="I131" s="17"/>
      <c r="J131" s="17"/>
      <c r="K131" s="17"/>
      <c r="L131" s="17"/>
      <c r="M131" s="17"/>
      <c r="N131" s="17"/>
      <c r="O131" s="17"/>
    </row>
    <row r="132" spans="1:15" x14ac:dyDescent="0.25">
      <c r="B132" s="1" t="s">
        <v>144</v>
      </c>
      <c r="C132" s="1"/>
      <c r="D132" s="1"/>
      <c r="E132" s="1"/>
      <c r="F132" s="1"/>
      <c r="G132" s="17"/>
      <c r="H132" s="17"/>
      <c r="I132" s="17"/>
      <c r="J132" s="17"/>
      <c r="K132" s="17"/>
      <c r="L132" s="17"/>
      <c r="M132" s="17"/>
      <c r="N132" s="17"/>
      <c r="O132" s="17"/>
    </row>
    <row r="133" spans="1:15" x14ac:dyDescent="0.25">
      <c r="B133" s="1" t="s">
        <v>146</v>
      </c>
      <c r="C133" s="1"/>
      <c r="D133" s="1"/>
      <c r="E133" s="1"/>
      <c r="F133" s="1"/>
      <c r="G133" s="17"/>
      <c r="H133" s="17"/>
      <c r="I133" s="17"/>
      <c r="J133" s="17"/>
      <c r="K133" s="17"/>
      <c r="L133" s="17"/>
      <c r="M133" s="17"/>
      <c r="N133" s="17"/>
      <c r="O133" s="17"/>
    </row>
    <row r="134" spans="1:15" x14ac:dyDescent="0.25">
      <c r="A134" s="31">
        <v>41603</v>
      </c>
      <c r="B134" s="1"/>
      <c r="C134" s="1"/>
      <c r="D134" s="1"/>
      <c r="E134" s="1"/>
      <c r="F134" s="1"/>
      <c r="G134" s="1"/>
      <c r="H134" s="1"/>
      <c r="I134" s="1"/>
      <c r="J134" s="1"/>
      <c r="K134" s="1"/>
      <c r="L134" s="1"/>
      <c r="M134" s="1"/>
      <c r="N134" s="1"/>
      <c r="O134" s="1"/>
    </row>
    <row r="135" spans="1:15" x14ac:dyDescent="0.25">
      <c r="B135" s="1"/>
      <c r="C135" s="1"/>
      <c r="D135" s="1"/>
      <c r="E135" s="1"/>
      <c r="F135" s="1"/>
      <c r="G135" s="1"/>
      <c r="H135" s="1"/>
      <c r="I135" s="1"/>
      <c r="J135" s="1"/>
      <c r="K135" s="1"/>
      <c r="L135" s="1"/>
      <c r="M135" s="1"/>
      <c r="N135" s="1"/>
      <c r="O135" s="1"/>
    </row>
    <row r="139" spans="1:15" x14ac:dyDescent="0.25">
      <c r="A139" s="5"/>
    </row>
  </sheetData>
  <mergeCells count="2">
    <mergeCell ref="B126:S126"/>
    <mergeCell ref="A1:Q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9"/>
  <sheetViews>
    <sheetView topLeftCell="G115" workbookViewId="0">
      <selection activeCell="O124" sqref="O124"/>
    </sheetView>
  </sheetViews>
  <sheetFormatPr defaultRowHeight="15" x14ac:dyDescent="0.25"/>
  <cols>
    <col min="1" max="1" width="13.7109375" customWidth="1"/>
    <col min="2" max="2" width="10.28515625" customWidth="1"/>
    <col min="3" max="3" width="14.140625" customWidth="1"/>
    <col min="4" max="4" width="15.5703125" customWidth="1"/>
    <col min="5" max="5" width="15.140625" customWidth="1"/>
    <col min="6" max="6" width="13.7109375" customWidth="1"/>
    <col min="7" max="8" width="12.7109375" customWidth="1"/>
    <col min="9" max="9" width="12.5703125" customWidth="1"/>
    <col min="10" max="10" width="14" customWidth="1"/>
    <col min="11" max="11" width="12" customWidth="1"/>
    <col min="12" max="12" width="13.85546875" customWidth="1"/>
    <col min="13" max="13" width="15.85546875" customWidth="1"/>
    <col min="14" max="14" width="14.85546875" customWidth="1"/>
    <col min="15" max="15" width="15.85546875" customWidth="1"/>
    <col min="16" max="16" width="15.140625" customWidth="1"/>
    <col min="17" max="17" width="14.7109375" customWidth="1"/>
    <col min="18" max="18" width="13.5703125" customWidth="1"/>
    <col min="19" max="19" width="12" customWidth="1"/>
    <col min="20" max="20" width="14.5703125" customWidth="1"/>
  </cols>
  <sheetData>
    <row r="1" spans="1:20" ht="23.25" x14ac:dyDescent="0.35">
      <c r="A1" s="67" t="s">
        <v>179</v>
      </c>
      <c r="B1" s="67"/>
      <c r="C1" s="67"/>
      <c r="D1" s="67"/>
      <c r="E1" s="67"/>
      <c r="F1" s="67"/>
      <c r="G1" s="67"/>
      <c r="H1" s="67"/>
      <c r="I1" s="67"/>
      <c r="J1" s="67"/>
      <c r="K1" s="67"/>
      <c r="L1" s="67"/>
      <c r="M1" s="67"/>
      <c r="N1" s="67"/>
      <c r="O1" s="67"/>
      <c r="P1" s="67"/>
      <c r="Q1" s="67"/>
      <c r="R1" s="33"/>
      <c r="S1" s="33"/>
      <c r="T1" s="33"/>
    </row>
    <row r="3" spans="1:20" ht="38.25" customHeight="1" x14ac:dyDescent="0.25">
      <c r="A3" s="7" t="s">
        <v>0</v>
      </c>
      <c r="B3" s="26" t="s">
        <v>165</v>
      </c>
      <c r="C3" s="23" t="s">
        <v>3</v>
      </c>
      <c r="D3" s="23" t="s">
        <v>4</v>
      </c>
      <c r="E3" s="23" t="s">
        <v>5</v>
      </c>
      <c r="F3" s="23" t="s">
        <v>6</v>
      </c>
      <c r="G3" s="23" t="s">
        <v>7</v>
      </c>
      <c r="H3" s="23" t="s">
        <v>8</v>
      </c>
      <c r="I3" s="26" t="s">
        <v>160</v>
      </c>
      <c r="J3" s="23" t="s">
        <v>26</v>
      </c>
      <c r="K3" s="23" t="s">
        <v>10</v>
      </c>
      <c r="L3" s="8" t="s">
        <v>11</v>
      </c>
      <c r="M3" s="23" t="s">
        <v>157</v>
      </c>
      <c r="N3" s="27" t="s">
        <v>162</v>
      </c>
      <c r="O3" s="27" t="s">
        <v>163</v>
      </c>
      <c r="P3" s="27" t="s">
        <v>164</v>
      </c>
      <c r="Q3" s="23" t="s">
        <v>157</v>
      </c>
    </row>
    <row r="4" spans="1:20" x14ac:dyDescent="0.25">
      <c r="A4" s="5" t="s">
        <v>25</v>
      </c>
      <c r="B4" s="25">
        <v>71</v>
      </c>
      <c r="C4" s="9">
        <v>2626.31</v>
      </c>
      <c r="D4" s="10">
        <v>3309.89</v>
      </c>
      <c r="E4" s="11">
        <v>10785.08</v>
      </c>
      <c r="F4" s="11">
        <v>1119.4100000000001</v>
      </c>
      <c r="G4" s="11">
        <v>645.80999999999995</v>
      </c>
      <c r="H4" s="11">
        <v>882.62</v>
      </c>
      <c r="I4" s="11">
        <v>365.98</v>
      </c>
      <c r="J4" s="11">
        <v>861.08</v>
      </c>
      <c r="K4" s="11">
        <v>0</v>
      </c>
      <c r="L4" s="11">
        <v>2405.4</v>
      </c>
      <c r="M4" s="11">
        <f t="shared" ref="M4:M68" si="0">SUM(C4:L4)</f>
        <v>23001.58</v>
      </c>
      <c r="N4" s="11">
        <v>2899.19</v>
      </c>
      <c r="O4" s="11">
        <v>4486.88</v>
      </c>
      <c r="P4" s="11">
        <v>2953.47</v>
      </c>
      <c r="Q4" s="11">
        <f t="shared" ref="Q4:Q67" si="1">SUM(M4:P4)</f>
        <v>33341.120000000003</v>
      </c>
    </row>
    <row r="5" spans="1:20" x14ac:dyDescent="0.25">
      <c r="A5" s="5" t="s">
        <v>27</v>
      </c>
      <c r="B5" s="18">
        <v>45</v>
      </c>
      <c r="C5" s="12">
        <v>2904.38</v>
      </c>
      <c r="D5" s="12">
        <v>2536.8000000000002</v>
      </c>
      <c r="E5" s="12">
        <v>13664.8</v>
      </c>
      <c r="F5" s="12">
        <v>2142.5700000000002</v>
      </c>
      <c r="G5" s="12">
        <v>1380.76</v>
      </c>
      <c r="H5" s="12">
        <v>761.81</v>
      </c>
      <c r="I5" s="12">
        <v>476.13</v>
      </c>
      <c r="J5" s="12">
        <v>2356.8000000000002</v>
      </c>
      <c r="K5" s="12">
        <v>976.93</v>
      </c>
      <c r="L5" s="12">
        <v>10.98</v>
      </c>
      <c r="M5" s="12">
        <f t="shared" si="0"/>
        <v>27211.96</v>
      </c>
      <c r="N5" s="12">
        <v>3559.1</v>
      </c>
      <c r="O5" s="12">
        <v>5577.55</v>
      </c>
      <c r="P5" s="12">
        <v>3441.31</v>
      </c>
      <c r="Q5" s="12">
        <f t="shared" si="1"/>
        <v>39789.919999999998</v>
      </c>
    </row>
    <row r="6" spans="1:20" x14ac:dyDescent="0.25">
      <c r="A6" s="5" t="s">
        <v>28</v>
      </c>
      <c r="B6" s="18">
        <v>76</v>
      </c>
      <c r="C6" s="12">
        <v>11604.42</v>
      </c>
      <c r="D6" s="12">
        <v>12963.24</v>
      </c>
      <c r="E6" s="12">
        <v>54217.39</v>
      </c>
      <c r="F6" s="12">
        <v>8085.04</v>
      </c>
      <c r="G6" s="12">
        <v>2853.55</v>
      </c>
      <c r="H6" s="12">
        <v>1331.66</v>
      </c>
      <c r="I6" s="12"/>
      <c r="J6" s="12"/>
      <c r="K6" s="12">
        <v>2632.57</v>
      </c>
      <c r="L6" s="12"/>
      <c r="M6" s="12">
        <f t="shared" si="0"/>
        <v>93687.87000000001</v>
      </c>
      <c r="N6" s="12">
        <v>11836.03</v>
      </c>
      <c r="O6" s="12">
        <v>18901.240000000002</v>
      </c>
      <c r="P6" s="12">
        <v>10529.65</v>
      </c>
      <c r="Q6" s="12">
        <f t="shared" si="1"/>
        <v>134954.79</v>
      </c>
    </row>
    <row r="7" spans="1:20" x14ac:dyDescent="0.25">
      <c r="A7" s="5" t="s">
        <v>29</v>
      </c>
      <c r="B7" s="18">
        <v>46</v>
      </c>
      <c r="C7" s="12">
        <v>2913.12</v>
      </c>
      <c r="D7" s="12">
        <v>4393.5200000000004</v>
      </c>
      <c r="E7" s="12">
        <v>11915.05</v>
      </c>
      <c r="F7" s="12"/>
      <c r="G7" s="12">
        <v>716.35</v>
      </c>
      <c r="H7" s="12">
        <v>716.35</v>
      </c>
      <c r="I7" s="12">
        <v>382.04</v>
      </c>
      <c r="J7" s="12"/>
      <c r="K7" s="12">
        <v>1.53</v>
      </c>
      <c r="L7" s="12"/>
      <c r="M7" s="12">
        <f t="shared" si="0"/>
        <v>21037.959999999995</v>
      </c>
      <c r="N7" s="12">
        <v>2763.15</v>
      </c>
      <c r="O7" s="12">
        <v>4207.59</v>
      </c>
      <c r="P7" s="12">
        <v>2563.81</v>
      </c>
      <c r="Q7" s="12">
        <f t="shared" si="1"/>
        <v>30572.51</v>
      </c>
    </row>
    <row r="8" spans="1:20" x14ac:dyDescent="0.25">
      <c r="A8" s="5" t="s">
        <v>30</v>
      </c>
      <c r="B8" s="18">
        <v>81</v>
      </c>
      <c r="C8" s="12">
        <v>8821.1</v>
      </c>
      <c r="D8" s="12">
        <v>10562.36</v>
      </c>
      <c r="E8" s="12">
        <v>50015.61</v>
      </c>
      <c r="F8" s="12">
        <v>2096.79</v>
      </c>
      <c r="G8" s="12">
        <v>0</v>
      </c>
      <c r="H8" s="12">
        <v>1156.8800000000001</v>
      </c>
      <c r="I8" s="12">
        <v>0</v>
      </c>
      <c r="J8" s="12">
        <v>0</v>
      </c>
      <c r="K8" s="12">
        <v>1546.22</v>
      </c>
      <c r="L8" s="12">
        <v>2520.7600000000002</v>
      </c>
      <c r="M8" s="12">
        <f t="shared" si="0"/>
        <v>76719.72</v>
      </c>
      <c r="N8" s="12">
        <v>9520.43</v>
      </c>
      <c r="O8" s="12">
        <v>15349.76</v>
      </c>
      <c r="P8" s="12">
        <v>8849.33</v>
      </c>
      <c r="Q8" s="12">
        <f t="shared" si="1"/>
        <v>110439.23999999999</v>
      </c>
    </row>
    <row r="9" spans="1:20" x14ac:dyDescent="0.25">
      <c r="A9" s="5" t="s">
        <v>31</v>
      </c>
      <c r="B9" s="18">
        <v>34</v>
      </c>
      <c r="C9" s="12">
        <v>2268.0500000000002</v>
      </c>
      <c r="D9" s="12">
        <v>2177.8000000000002</v>
      </c>
      <c r="E9" s="12">
        <v>8179.87</v>
      </c>
      <c r="F9" s="12">
        <v>1747.52</v>
      </c>
      <c r="G9" s="12">
        <v>1673.16</v>
      </c>
      <c r="H9" s="12">
        <v>1282.76</v>
      </c>
      <c r="I9" s="12">
        <v>334.64</v>
      </c>
      <c r="J9" s="12">
        <v>1691.77</v>
      </c>
      <c r="K9" s="12">
        <v>1113.06</v>
      </c>
      <c r="L9" s="12"/>
      <c r="M9" s="12">
        <f t="shared" si="0"/>
        <v>20468.63</v>
      </c>
      <c r="N9" s="12">
        <v>2591.89</v>
      </c>
      <c r="O9" s="12">
        <v>4127.74</v>
      </c>
      <c r="P9" s="12">
        <v>2539.86</v>
      </c>
      <c r="Q9" s="12">
        <f t="shared" si="1"/>
        <v>29728.120000000003</v>
      </c>
    </row>
    <row r="10" spans="1:20" x14ac:dyDescent="0.25">
      <c r="A10" s="5" t="s">
        <v>32</v>
      </c>
      <c r="B10" s="18">
        <v>120</v>
      </c>
      <c r="C10" s="12">
        <v>11288.61</v>
      </c>
      <c r="D10" s="12">
        <v>12498.88</v>
      </c>
      <c r="E10" s="12">
        <v>49538.94</v>
      </c>
      <c r="F10" s="12">
        <v>7587.43</v>
      </c>
      <c r="G10" s="12">
        <v>5089.12</v>
      </c>
      <c r="H10" s="12">
        <v>0</v>
      </c>
      <c r="I10" s="12">
        <v>0</v>
      </c>
      <c r="J10" s="12">
        <v>0</v>
      </c>
      <c r="K10" s="12">
        <v>0</v>
      </c>
      <c r="L10" s="12">
        <v>3146.03</v>
      </c>
      <c r="M10" s="12">
        <f t="shared" si="0"/>
        <v>89149.00999999998</v>
      </c>
      <c r="N10" s="12">
        <v>10902.96</v>
      </c>
      <c r="O10" s="12">
        <v>17658.810000000001</v>
      </c>
      <c r="P10" s="12">
        <v>10467.370000000001</v>
      </c>
      <c r="Q10" s="12">
        <f t="shared" si="1"/>
        <v>128178.14999999997</v>
      </c>
    </row>
    <row r="11" spans="1:20" x14ac:dyDescent="0.25">
      <c r="A11" s="5" t="s">
        <v>33</v>
      </c>
      <c r="B11" s="18">
        <v>125</v>
      </c>
      <c r="C11" s="12">
        <v>27583.79</v>
      </c>
      <c r="D11" s="12">
        <v>25115.26</v>
      </c>
      <c r="E11" s="12">
        <v>146267.93</v>
      </c>
      <c r="F11" s="12">
        <v>11757.05</v>
      </c>
      <c r="G11" s="12">
        <v>4295.8900000000003</v>
      </c>
      <c r="H11" s="12">
        <v>4069.7</v>
      </c>
      <c r="I11" s="12">
        <v>0</v>
      </c>
      <c r="J11" s="12">
        <v>0</v>
      </c>
      <c r="K11" s="12">
        <v>24749.89</v>
      </c>
      <c r="L11" s="12">
        <v>0</v>
      </c>
      <c r="M11" s="12">
        <f t="shared" si="0"/>
        <v>243839.51</v>
      </c>
      <c r="N11" s="12">
        <v>28833.02</v>
      </c>
      <c r="O11" s="12">
        <v>49429.82</v>
      </c>
      <c r="P11" s="12">
        <v>25496.44</v>
      </c>
      <c r="Q11" s="12">
        <f t="shared" si="1"/>
        <v>347598.79000000004</v>
      </c>
    </row>
    <row r="12" spans="1:20" x14ac:dyDescent="0.25">
      <c r="A12" s="5" t="s">
        <v>34</v>
      </c>
      <c r="B12" s="40">
        <v>87</v>
      </c>
      <c r="C12" s="41">
        <v>6988.1</v>
      </c>
      <c r="D12" s="12">
        <v>9925.2099999999991</v>
      </c>
      <c r="E12" s="12">
        <v>23014.7</v>
      </c>
      <c r="F12" s="12">
        <v>4951.5600000000004</v>
      </c>
      <c r="G12" s="12">
        <v>2631.86</v>
      </c>
      <c r="H12" s="12">
        <v>1441.01</v>
      </c>
      <c r="I12" s="12">
        <v>395.17</v>
      </c>
      <c r="J12" s="12">
        <v>0</v>
      </c>
      <c r="K12" s="12">
        <v>0</v>
      </c>
      <c r="L12" s="12">
        <v>0</v>
      </c>
      <c r="M12" s="12">
        <f t="shared" si="0"/>
        <v>49347.609999999993</v>
      </c>
      <c r="N12" s="12">
        <v>5891.43</v>
      </c>
      <c r="O12" s="12">
        <v>9360.86</v>
      </c>
      <c r="P12" s="12">
        <v>5529.08</v>
      </c>
      <c r="Q12" s="12">
        <f t="shared" si="1"/>
        <v>70128.98</v>
      </c>
    </row>
    <row r="13" spans="1:20" x14ac:dyDescent="0.25">
      <c r="A13" s="5" t="s">
        <v>35</v>
      </c>
      <c r="B13" s="18">
        <v>225</v>
      </c>
      <c r="C13" s="12">
        <v>35784.1</v>
      </c>
      <c r="D13" s="12">
        <v>53804.69</v>
      </c>
      <c r="E13" s="12">
        <v>112585.12</v>
      </c>
      <c r="F13" s="12">
        <v>36370.79</v>
      </c>
      <c r="G13" s="12">
        <v>17598.740000000002</v>
      </c>
      <c r="H13" s="12">
        <v>11439.2</v>
      </c>
      <c r="I13" s="12">
        <v>0</v>
      </c>
      <c r="J13" s="12">
        <v>22585.02</v>
      </c>
      <c r="K13" s="12">
        <v>19412.310000000001</v>
      </c>
      <c r="L13" s="12">
        <v>0</v>
      </c>
      <c r="M13" s="12">
        <f t="shared" si="0"/>
        <v>309579.97000000003</v>
      </c>
      <c r="N13" s="12">
        <v>39472.14</v>
      </c>
      <c r="O13" s="12">
        <v>61870.99</v>
      </c>
      <c r="P13" s="12">
        <v>34085.410000000003</v>
      </c>
      <c r="Q13" s="12">
        <f t="shared" si="1"/>
        <v>445008.51</v>
      </c>
    </row>
    <row r="14" spans="1:20" x14ac:dyDescent="0.25">
      <c r="A14" s="5" t="s">
        <v>36</v>
      </c>
      <c r="B14" s="18">
        <v>51</v>
      </c>
      <c r="C14" s="12">
        <v>5662.86</v>
      </c>
      <c r="D14" s="12">
        <v>3188.44</v>
      </c>
      <c r="E14" s="12">
        <v>19123.89</v>
      </c>
      <c r="F14" s="12">
        <v>3481.28</v>
      </c>
      <c r="G14" s="12">
        <v>1160.43</v>
      </c>
      <c r="H14" s="12">
        <v>0</v>
      </c>
      <c r="I14" s="12">
        <v>0</v>
      </c>
      <c r="J14" s="12">
        <v>0</v>
      </c>
      <c r="K14" s="12">
        <v>601.98</v>
      </c>
      <c r="L14" s="12">
        <v>6003.19</v>
      </c>
      <c r="M14" s="12">
        <f t="shared" si="0"/>
        <v>39222.07</v>
      </c>
      <c r="N14" s="12">
        <v>4910.21</v>
      </c>
      <c r="O14" s="12">
        <v>7773</v>
      </c>
      <c r="P14" s="12">
        <v>4651.54</v>
      </c>
      <c r="Q14" s="12">
        <f t="shared" si="1"/>
        <v>56556.82</v>
      </c>
    </row>
    <row r="15" spans="1:20" x14ac:dyDescent="0.25">
      <c r="A15" s="5" t="s">
        <v>37</v>
      </c>
      <c r="B15" s="18">
        <v>16</v>
      </c>
      <c r="C15" s="12">
        <v>1234.49</v>
      </c>
      <c r="D15" s="12">
        <v>4233.6400000000003</v>
      </c>
      <c r="E15" s="12">
        <v>3909.62</v>
      </c>
      <c r="F15" s="12">
        <v>930.92</v>
      </c>
      <c r="G15" s="12">
        <v>485.7</v>
      </c>
      <c r="H15" s="12">
        <v>677.99</v>
      </c>
      <c r="I15" s="12">
        <v>202.38</v>
      </c>
      <c r="J15" s="12">
        <v>809.5</v>
      </c>
      <c r="K15" s="12">
        <v>0</v>
      </c>
      <c r="L15" s="12">
        <v>0</v>
      </c>
      <c r="M15" s="12">
        <f t="shared" si="0"/>
        <v>12484.24</v>
      </c>
      <c r="N15" s="12">
        <v>1611.37</v>
      </c>
      <c r="O15" s="12">
        <v>2461.65</v>
      </c>
      <c r="P15" s="12">
        <v>1351.57</v>
      </c>
      <c r="Q15" s="12">
        <f t="shared" si="1"/>
        <v>17908.830000000002</v>
      </c>
    </row>
    <row r="16" spans="1:20" x14ac:dyDescent="0.25">
      <c r="A16" s="5" t="s">
        <v>38</v>
      </c>
      <c r="B16" s="18">
        <v>57</v>
      </c>
      <c r="C16" s="12">
        <v>3136.22</v>
      </c>
      <c r="D16" s="12">
        <v>2855.68</v>
      </c>
      <c r="E16" s="12">
        <v>9841.25</v>
      </c>
      <c r="F16" s="12">
        <v>2442.12</v>
      </c>
      <c r="G16" s="12">
        <v>2056.5300000000002</v>
      </c>
      <c r="H16" s="12">
        <v>2802.05</v>
      </c>
      <c r="I16" s="12">
        <v>539.84</v>
      </c>
      <c r="J16" s="12"/>
      <c r="K16" s="12">
        <v>55.89</v>
      </c>
      <c r="L16" s="12"/>
      <c r="M16" s="12">
        <f t="shared" si="0"/>
        <v>23729.579999999998</v>
      </c>
      <c r="N16" s="12">
        <v>2981.53</v>
      </c>
      <c r="O16" s="12">
        <v>4690.5200000000004</v>
      </c>
      <c r="P16" s="12">
        <v>3200.2</v>
      </c>
      <c r="Q16" s="12">
        <f t="shared" si="1"/>
        <v>34601.829999999994</v>
      </c>
    </row>
    <row r="17" spans="1:17" x14ac:dyDescent="0.25">
      <c r="A17" s="28" t="s">
        <v>175</v>
      </c>
      <c r="B17" s="18">
        <v>61</v>
      </c>
      <c r="C17" s="12">
        <v>4279.41</v>
      </c>
      <c r="D17" s="12">
        <v>4240.78</v>
      </c>
      <c r="E17" s="12">
        <v>18199.2</v>
      </c>
      <c r="F17" s="12">
        <v>3262.18</v>
      </c>
      <c r="G17" s="12">
        <v>1087.4100000000001</v>
      </c>
      <c r="H17" s="12">
        <v>1473.24</v>
      </c>
      <c r="I17" s="12">
        <v>350.8</v>
      </c>
      <c r="J17" s="12">
        <v>0</v>
      </c>
      <c r="K17" s="12">
        <v>2162.39</v>
      </c>
      <c r="L17" s="12">
        <v>527.53</v>
      </c>
      <c r="M17" s="12">
        <f t="shared" si="0"/>
        <v>35582.94</v>
      </c>
      <c r="N17" s="12">
        <v>4764.09</v>
      </c>
      <c r="O17" s="12">
        <v>7177.36</v>
      </c>
      <c r="P17" s="12">
        <v>4930.68</v>
      </c>
      <c r="Q17" s="12">
        <f t="shared" si="1"/>
        <v>52455.07</v>
      </c>
    </row>
    <row r="18" spans="1:17" s="37" customFormat="1" x14ac:dyDescent="0.25">
      <c r="A18" s="34" t="s">
        <v>40</v>
      </c>
      <c r="B18" s="35">
        <v>230</v>
      </c>
      <c r="C18" s="36">
        <v>36251.97</v>
      </c>
      <c r="D18" s="36">
        <v>31662.46</v>
      </c>
      <c r="E18" s="36">
        <v>182130.98</v>
      </c>
      <c r="F18" s="36">
        <v>20572.82</v>
      </c>
      <c r="G18" s="36">
        <v>7131.54</v>
      </c>
      <c r="H18" s="36">
        <v>2971.46</v>
      </c>
      <c r="I18" s="36">
        <v>0</v>
      </c>
      <c r="J18" s="36">
        <v>0</v>
      </c>
      <c r="K18" s="36">
        <v>25836.49</v>
      </c>
      <c r="L18" s="36">
        <v>3467.65</v>
      </c>
      <c r="M18" s="36">
        <f t="shared" si="0"/>
        <v>310025.37</v>
      </c>
      <c r="N18" s="36">
        <v>37063.56</v>
      </c>
      <c r="O18" s="36">
        <v>61821.09</v>
      </c>
      <c r="P18" s="36">
        <v>34130.300000000003</v>
      </c>
      <c r="Q18" s="36">
        <f t="shared" si="1"/>
        <v>443040.32</v>
      </c>
    </row>
    <row r="19" spans="1:17" x14ac:dyDescent="0.25">
      <c r="A19" s="5" t="s">
        <v>41</v>
      </c>
      <c r="B19" s="18">
        <v>52</v>
      </c>
      <c r="C19" s="12">
        <v>2561.2199999999998</v>
      </c>
      <c r="D19" s="12">
        <v>2366.48</v>
      </c>
      <c r="E19" s="12">
        <v>7914.62</v>
      </c>
      <c r="F19" s="12">
        <v>1406.6</v>
      </c>
      <c r="G19" s="12">
        <v>472.48</v>
      </c>
      <c r="H19" s="12">
        <v>1286.97</v>
      </c>
      <c r="I19" s="12">
        <v>0</v>
      </c>
      <c r="J19" s="12">
        <v>1847.44</v>
      </c>
      <c r="K19" s="12">
        <v>0</v>
      </c>
      <c r="L19" s="12">
        <v>145.88</v>
      </c>
      <c r="M19" s="12">
        <f t="shared" si="0"/>
        <v>18001.689999999999</v>
      </c>
      <c r="N19" s="12">
        <v>2319.58</v>
      </c>
      <c r="O19" s="12">
        <v>3579.54</v>
      </c>
      <c r="P19" s="12">
        <v>2257.8000000000002</v>
      </c>
      <c r="Q19" s="12">
        <f t="shared" si="1"/>
        <v>26158.609999999997</v>
      </c>
    </row>
    <row r="20" spans="1:17" x14ac:dyDescent="0.25">
      <c r="A20" s="5" t="s">
        <v>42</v>
      </c>
      <c r="B20" s="18">
        <v>25</v>
      </c>
      <c r="C20" s="12">
        <v>1002.32</v>
      </c>
      <c r="D20" s="12">
        <v>1013</v>
      </c>
      <c r="E20" s="12">
        <v>3089.11</v>
      </c>
      <c r="F20" s="12">
        <v>410.8</v>
      </c>
      <c r="G20" s="12">
        <v>410.8</v>
      </c>
      <c r="H20" s="12">
        <v>295.76</v>
      </c>
      <c r="I20" s="12"/>
      <c r="J20" s="12"/>
      <c r="K20" s="12"/>
      <c r="L20" s="12">
        <v>576.42999999999995</v>
      </c>
      <c r="M20" s="12">
        <f t="shared" si="0"/>
        <v>6798.2200000000012</v>
      </c>
      <c r="N20" s="12">
        <v>847.28</v>
      </c>
      <c r="O20" s="12">
        <v>1374.65</v>
      </c>
      <c r="P20" s="12">
        <v>912.33</v>
      </c>
      <c r="Q20" s="12">
        <f t="shared" si="1"/>
        <v>9932.4800000000014</v>
      </c>
    </row>
    <row r="21" spans="1:17" x14ac:dyDescent="0.25">
      <c r="A21" s="5" t="s">
        <v>43</v>
      </c>
      <c r="B21" s="18">
        <v>75</v>
      </c>
      <c r="C21" s="12">
        <v>8172.71</v>
      </c>
      <c r="D21" s="12">
        <v>8373.7800000000007</v>
      </c>
      <c r="E21" s="12">
        <v>21986.38</v>
      </c>
      <c r="F21" s="12">
        <v>3617.43</v>
      </c>
      <c r="G21" s="12">
        <v>1875.71</v>
      </c>
      <c r="H21" s="12">
        <v>1071.83</v>
      </c>
      <c r="I21" s="12">
        <v>335.04</v>
      </c>
      <c r="J21" s="12">
        <v>0</v>
      </c>
      <c r="K21" s="12">
        <v>0</v>
      </c>
      <c r="L21" s="12">
        <v>2333.37</v>
      </c>
      <c r="M21" s="12">
        <f t="shared" si="0"/>
        <v>47766.250000000007</v>
      </c>
      <c r="N21" s="12">
        <v>5413.78</v>
      </c>
      <c r="O21" s="12">
        <v>9627.2800000000007</v>
      </c>
      <c r="P21" s="12">
        <v>5517.21</v>
      </c>
      <c r="Q21" s="12">
        <f t="shared" si="1"/>
        <v>68324.52</v>
      </c>
    </row>
    <row r="22" spans="1:17" x14ac:dyDescent="0.25">
      <c r="A22" s="5" t="s">
        <v>44</v>
      </c>
      <c r="B22" s="18">
        <v>199</v>
      </c>
      <c r="C22" s="12">
        <v>22341.24</v>
      </c>
      <c r="D22" s="12">
        <v>32642.69</v>
      </c>
      <c r="E22" s="12">
        <v>88352.54</v>
      </c>
      <c r="F22" s="12">
        <v>14100.64</v>
      </c>
      <c r="G22" s="12">
        <v>3845.62</v>
      </c>
      <c r="H22" s="12">
        <v>5493.73</v>
      </c>
      <c r="I22" s="12">
        <v>512.79999999999995</v>
      </c>
      <c r="J22" s="12"/>
      <c r="K22" s="12">
        <v>8822.51</v>
      </c>
      <c r="L22" s="12"/>
      <c r="M22" s="12">
        <f t="shared" si="0"/>
        <v>176111.77</v>
      </c>
      <c r="N22" s="12">
        <v>20488.099999999999</v>
      </c>
      <c r="O22" s="12">
        <v>34386.58</v>
      </c>
      <c r="P22" s="12">
        <v>20078.810000000001</v>
      </c>
      <c r="Q22" s="12">
        <f t="shared" si="1"/>
        <v>251065.26</v>
      </c>
    </row>
    <row r="23" spans="1:17" x14ac:dyDescent="0.25">
      <c r="A23" s="5" t="s">
        <v>45</v>
      </c>
      <c r="B23" s="18">
        <v>12</v>
      </c>
      <c r="C23" s="12">
        <v>468.36</v>
      </c>
      <c r="D23" s="12">
        <v>930.46</v>
      </c>
      <c r="E23" s="12">
        <v>2030.77</v>
      </c>
      <c r="F23" s="12">
        <v>0</v>
      </c>
      <c r="G23" s="12">
        <v>122.85</v>
      </c>
      <c r="H23" s="12">
        <v>280.24</v>
      </c>
      <c r="I23" s="12">
        <v>80.63</v>
      </c>
      <c r="J23" s="12">
        <v>307.12</v>
      </c>
      <c r="K23" s="12">
        <v>0</v>
      </c>
      <c r="L23" s="12">
        <v>0</v>
      </c>
      <c r="M23" s="12">
        <f t="shared" si="0"/>
        <v>4220.43</v>
      </c>
      <c r="N23" s="12">
        <v>572.37</v>
      </c>
      <c r="O23" s="12">
        <v>916.32</v>
      </c>
      <c r="P23" s="12">
        <v>638.16</v>
      </c>
      <c r="Q23" s="12">
        <f t="shared" si="1"/>
        <v>6347.28</v>
      </c>
    </row>
    <row r="24" spans="1:17" x14ac:dyDescent="0.25">
      <c r="A24" s="5" t="s">
        <v>46</v>
      </c>
      <c r="B24" s="18">
        <v>30</v>
      </c>
      <c r="C24" s="12">
        <v>2692.18</v>
      </c>
      <c r="D24" s="12">
        <v>1160.6099999999999</v>
      </c>
      <c r="E24" s="12">
        <v>12467.88</v>
      </c>
      <c r="F24" s="12">
        <v>2206.6999999999998</v>
      </c>
      <c r="G24" s="12">
        <v>1191.6099999999999</v>
      </c>
      <c r="H24" s="12">
        <v>0</v>
      </c>
      <c r="I24" s="12">
        <v>0</v>
      </c>
      <c r="J24" s="12">
        <v>0</v>
      </c>
      <c r="K24" s="12">
        <v>402.88</v>
      </c>
      <c r="L24" s="12">
        <v>1697.86</v>
      </c>
      <c r="M24" s="12">
        <f t="shared" si="0"/>
        <v>21819.72</v>
      </c>
      <c r="N24" s="12">
        <v>2771.81</v>
      </c>
      <c r="O24" s="12">
        <v>4363.9399999999996</v>
      </c>
      <c r="P24" s="12">
        <v>2601.98</v>
      </c>
      <c r="Q24" s="12">
        <f t="shared" si="1"/>
        <v>31557.45</v>
      </c>
    </row>
    <row r="25" spans="1:17" x14ac:dyDescent="0.25">
      <c r="A25" s="5" t="s">
        <v>47</v>
      </c>
      <c r="B25" s="18">
        <v>219</v>
      </c>
      <c r="C25" s="12">
        <v>9887.57</v>
      </c>
      <c r="D25" s="12">
        <v>5929.01</v>
      </c>
      <c r="E25" s="12">
        <v>37686.42</v>
      </c>
      <c r="F25" s="12">
        <v>0</v>
      </c>
      <c r="G25" s="12">
        <v>3239.11</v>
      </c>
      <c r="H25" s="12">
        <v>3564.96</v>
      </c>
      <c r="I25" s="12">
        <v>0</v>
      </c>
      <c r="J25" s="12">
        <v>6159.48</v>
      </c>
      <c r="K25" s="12">
        <v>0</v>
      </c>
      <c r="L25" s="12">
        <v>54.18</v>
      </c>
      <c r="M25" s="12">
        <f t="shared" si="0"/>
        <v>66520.73</v>
      </c>
      <c r="N25" s="12">
        <v>8759.4500000000007</v>
      </c>
      <c r="O25" s="12">
        <v>13298.25</v>
      </c>
      <c r="P25" s="12">
        <v>7589.26</v>
      </c>
      <c r="Q25" s="12">
        <f t="shared" si="1"/>
        <v>96167.689999999988</v>
      </c>
    </row>
    <row r="26" spans="1:17" x14ac:dyDescent="0.25">
      <c r="A26" s="5" t="s">
        <v>48</v>
      </c>
      <c r="B26" s="18">
        <v>18</v>
      </c>
      <c r="C26" s="12">
        <v>915.98</v>
      </c>
      <c r="D26" s="12">
        <v>503.04</v>
      </c>
      <c r="E26" s="12">
        <v>3265.98</v>
      </c>
      <c r="F26" s="12">
        <v>600.64</v>
      </c>
      <c r="G26" s="12">
        <v>322.83999999999997</v>
      </c>
      <c r="H26" s="12">
        <v>135.13999999999999</v>
      </c>
      <c r="I26" s="12">
        <v>105.11</v>
      </c>
      <c r="J26" s="12">
        <v>172.69</v>
      </c>
      <c r="K26" s="12">
        <v>0</v>
      </c>
      <c r="L26" s="12">
        <v>473.69</v>
      </c>
      <c r="M26" s="12">
        <f t="shared" si="0"/>
        <v>6495.11</v>
      </c>
      <c r="N26" s="12">
        <v>1008.63</v>
      </c>
      <c r="O26" s="12">
        <v>1510.45</v>
      </c>
      <c r="P26" s="12">
        <v>1106.79</v>
      </c>
      <c r="Q26" s="12">
        <f t="shared" si="1"/>
        <v>10120.98</v>
      </c>
    </row>
    <row r="27" spans="1:17" x14ac:dyDescent="0.25">
      <c r="A27" s="5" t="s">
        <v>49</v>
      </c>
      <c r="B27" s="18">
        <v>125</v>
      </c>
      <c r="C27" s="12">
        <v>13907.68</v>
      </c>
      <c r="D27" s="12">
        <v>21317.49</v>
      </c>
      <c r="E27" s="12">
        <v>45370.92</v>
      </c>
      <c r="F27" s="12">
        <v>0</v>
      </c>
      <c r="G27" s="12">
        <v>2963.92</v>
      </c>
      <c r="H27" s="12">
        <v>2735.93</v>
      </c>
      <c r="I27" s="12">
        <v>456</v>
      </c>
      <c r="J27" s="12">
        <v>0</v>
      </c>
      <c r="K27" s="12">
        <v>3159.49</v>
      </c>
      <c r="L27" s="12">
        <v>487.92</v>
      </c>
      <c r="M27" s="12">
        <f t="shared" si="0"/>
        <v>90399.349999999991</v>
      </c>
      <c r="N27" s="12">
        <v>11585.88</v>
      </c>
      <c r="O27" s="12">
        <v>18300.3</v>
      </c>
      <c r="P27" s="12">
        <v>12120.34</v>
      </c>
      <c r="Q27" s="12">
        <f t="shared" si="1"/>
        <v>132405.87</v>
      </c>
    </row>
    <row r="28" spans="1:17" x14ac:dyDescent="0.25">
      <c r="A28" s="5" t="s">
        <v>50</v>
      </c>
      <c r="B28" s="18">
        <v>132</v>
      </c>
      <c r="C28" s="12">
        <v>18667.95</v>
      </c>
      <c r="D28" s="12">
        <v>15418.53</v>
      </c>
      <c r="E28" s="12">
        <v>85536.03</v>
      </c>
      <c r="F28" s="12">
        <v>10558.11</v>
      </c>
      <c r="G28" s="12">
        <v>7038.69</v>
      </c>
      <c r="H28" s="12">
        <v>4131.3999999999996</v>
      </c>
      <c r="I28" s="12">
        <v>0</v>
      </c>
      <c r="J28" s="12">
        <v>0</v>
      </c>
      <c r="K28" s="12">
        <v>0</v>
      </c>
      <c r="L28" s="12">
        <v>0</v>
      </c>
      <c r="M28" s="12">
        <f>SUM(C28:L28)</f>
        <v>141350.71</v>
      </c>
      <c r="N28" s="12">
        <v>17084.48</v>
      </c>
      <c r="O28" s="12">
        <v>28296.51</v>
      </c>
      <c r="P28" s="12">
        <v>15996.3</v>
      </c>
      <c r="Q28" s="12">
        <f>SUM(M28:P28)</f>
        <v>202728</v>
      </c>
    </row>
    <row r="29" spans="1:17" x14ac:dyDescent="0.25">
      <c r="A29" s="5" t="s">
        <v>51</v>
      </c>
      <c r="B29" s="18">
        <v>129</v>
      </c>
      <c r="C29" s="12">
        <v>7331.59</v>
      </c>
      <c r="D29" s="12">
        <v>6864.01</v>
      </c>
      <c r="E29" s="12">
        <v>33353.01</v>
      </c>
      <c r="F29" s="12">
        <v>4687.41</v>
      </c>
      <c r="G29" s="12">
        <v>3605.7</v>
      </c>
      <c r="H29" s="12">
        <v>3425.53</v>
      </c>
      <c r="I29" s="12">
        <v>781.36</v>
      </c>
      <c r="J29" s="12"/>
      <c r="K29" s="12">
        <v>37.03</v>
      </c>
      <c r="L29" s="12"/>
      <c r="M29" s="12">
        <f>SUM(C29:L29)</f>
        <v>60085.64</v>
      </c>
      <c r="N29" s="12">
        <v>7593.86</v>
      </c>
      <c r="O29" s="12">
        <v>11577.24</v>
      </c>
      <c r="P29" s="12">
        <v>7105.08</v>
      </c>
      <c r="Q29" s="12">
        <f>SUM(M29:P29)</f>
        <v>86361.82</v>
      </c>
    </row>
    <row r="30" spans="1:17" x14ac:dyDescent="0.25">
      <c r="A30" s="5" t="s">
        <v>52</v>
      </c>
      <c r="B30" s="18">
        <v>5</v>
      </c>
      <c r="C30" s="12">
        <v>260.26</v>
      </c>
      <c r="D30" s="12">
        <v>134.4</v>
      </c>
      <c r="E30" s="12">
        <v>853.34</v>
      </c>
      <c r="F30" s="12">
        <v>68.27</v>
      </c>
      <c r="G30" s="12">
        <v>74.67</v>
      </c>
      <c r="H30" s="12">
        <v>108.81</v>
      </c>
      <c r="I30" s="12">
        <v>33.5</v>
      </c>
      <c r="J30" s="12">
        <v>0</v>
      </c>
      <c r="K30" s="12">
        <v>0</v>
      </c>
      <c r="L30" s="12">
        <v>0</v>
      </c>
      <c r="M30" s="12">
        <f t="shared" si="0"/>
        <v>1533.25</v>
      </c>
      <c r="N30" s="12">
        <v>204.17</v>
      </c>
      <c r="O30" s="12">
        <v>311.64999999999998</v>
      </c>
      <c r="P30" s="12">
        <v>203.33</v>
      </c>
      <c r="Q30" s="12">
        <f t="shared" si="1"/>
        <v>2252.4</v>
      </c>
    </row>
    <row r="31" spans="1:17" x14ac:dyDescent="0.25">
      <c r="A31" s="5" t="s">
        <v>53</v>
      </c>
      <c r="B31" s="18">
        <v>18</v>
      </c>
      <c r="C31" s="12">
        <v>845.09</v>
      </c>
      <c r="D31" s="12">
        <v>957.2</v>
      </c>
      <c r="E31" s="12">
        <v>3193.22</v>
      </c>
      <c r="F31" s="12">
        <v>346.35</v>
      </c>
      <c r="G31" s="12">
        <v>207.81</v>
      </c>
      <c r="H31" s="12">
        <v>249.37</v>
      </c>
      <c r="I31" s="12">
        <v>383.72</v>
      </c>
      <c r="J31" s="12">
        <v>0</v>
      </c>
      <c r="K31" s="12">
        <v>0</v>
      </c>
      <c r="L31" s="12">
        <v>1.01</v>
      </c>
      <c r="M31" s="12">
        <f t="shared" si="0"/>
        <v>6183.7700000000013</v>
      </c>
      <c r="N31" s="12">
        <v>810.86</v>
      </c>
      <c r="O31" s="12">
        <v>1247.55</v>
      </c>
      <c r="P31" s="12">
        <v>785.81</v>
      </c>
      <c r="Q31" s="12">
        <f t="shared" si="1"/>
        <v>9027.99</v>
      </c>
    </row>
    <row r="32" spans="1:17" x14ac:dyDescent="0.25">
      <c r="A32" s="5" t="s">
        <v>166</v>
      </c>
      <c r="B32" s="18">
        <v>0</v>
      </c>
      <c r="C32" s="12"/>
      <c r="D32" s="12"/>
      <c r="E32" s="12"/>
      <c r="F32" s="12"/>
      <c r="G32" s="12"/>
      <c r="H32" s="12"/>
      <c r="I32" s="12"/>
      <c r="J32" s="12"/>
      <c r="K32" s="12"/>
      <c r="L32" s="12"/>
      <c r="M32" s="12">
        <f t="shared" si="0"/>
        <v>0</v>
      </c>
      <c r="N32" s="12"/>
      <c r="O32" s="12"/>
      <c r="P32" s="12"/>
      <c r="Q32" s="12">
        <f t="shared" si="1"/>
        <v>0</v>
      </c>
    </row>
    <row r="33" spans="1:17" x14ac:dyDescent="0.25">
      <c r="A33" s="28" t="s">
        <v>176</v>
      </c>
      <c r="B33" s="18">
        <v>140</v>
      </c>
      <c r="C33" s="12">
        <v>13925.68</v>
      </c>
      <c r="D33" s="12">
        <v>15803.68</v>
      </c>
      <c r="E33" s="12">
        <v>47230.83</v>
      </c>
      <c r="F33" s="12">
        <v>7305.32</v>
      </c>
      <c r="G33" s="12">
        <v>3995.36</v>
      </c>
      <c r="H33" s="12">
        <v>1027.3800000000001</v>
      </c>
      <c r="I33" s="12"/>
      <c r="J33" s="12"/>
      <c r="K33" s="12">
        <v>1488.15</v>
      </c>
      <c r="L33" s="12">
        <v>50.99</v>
      </c>
      <c r="M33" s="12">
        <f t="shared" si="0"/>
        <v>90827.390000000014</v>
      </c>
      <c r="N33" s="12">
        <v>10938.28</v>
      </c>
      <c r="O33" s="12">
        <v>18109.53</v>
      </c>
      <c r="P33" s="12">
        <v>12834.82</v>
      </c>
      <c r="Q33" s="12">
        <f t="shared" si="1"/>
        <v>132710.02000000002</v>
      </c>
    </row>
    <row r="34" spans="1:17" x14ac:dyDescent="0.25">
      <c r="A34" s="5" t="s">
        <v>55</v>
      </c>
      <c r="B34" s="18">
        <v>45</v>
      </c>
      <c r="C34" s="12">
        <v>7305.41</v>
      </c>
      <c r="D34" s="12">
        <v>8323.4</v>
      </c>
      <c r="E34" s="12">
        <v>24430.92</v>
      </c>
      <c r="F34" s="12">
        <v>4071.87</v>
      </c>
      <c r="G34" s="12"/>
      <c r="H34" s="12"/>
      <c r="I34" s="12"/>
      <c r="J34" s="12">
        <v>4431.1000000000004</v>
      </c>
      <c r="K34" s="12">
        <v>1307.69</v>
      </c>
      <c r="L34" s="12"/>
      <c r="M34" s="12">
        <f t="shared" si="0"/>
        <v>49870.39</v>
      </c>
      <c r="N34" s="12">
        <v>6493.03</v>
      </c>
      <c r="O34" s="12">
        <v>10017.620000000001</v>
      </c>
      <c r="P34" s="12">
        <v>5669.86</v>
      </c>
      <c r="Q34" s="12">
        <f t="shared" si="1"/>
        <v>72050.899999999994</v>
      </c>
    </row>
    <row r="35" spans="1:17" x14ac:dyDescent="0.25">
      <c r="A35" s="5" t="s">
        <v>56</v>
      </c>
      <c r="B35" s="18">
        <v>2</v>
      </c>
      <c r="C35" s="12">
        <v>23.13</v>
      </c>
      <c r="D35">
        <v>31.61</v>
      </c>
      <c r="E35" s="12">
        <v>77.16</v>
      </c>
      <c r="F35" s="12"/>
      <c r="G35" s="12">
        <v>7.58</v>
      </c>
      <c r="H35" s="12">
        <v>13.08</v>
      </c>
      <c r="I35" s="12">
        <v>10.039999999999999</v>
      </c>
      <c r="J35" s="12">
        <v>18.77</v>
      </c>
      <c r="K35" s="12">
        <v>1.76</v>
      </c>
      <c r="L35" s="12"/>
      <c r="M35" s="12">
        <f t="shared" si="0"/>
        <v>183.13</v>
      </c>
      <c r="N35" s="12">
        <v>22.86</v>
      </c>
      <c r="O35" s="12">
        <v>34.630000000000003</v>
      </c>
      <c r="P35" s="12">
        <v>47.31</v>
      </c>
      <c r="Q35" s="12">
        <f t="shared" si="1"/>
        <v>287.93</v>
      </c>
    </row>
    <row r="36" spans="1:17" x14ac:dyDescent="0.25">
      <c r="A36" s="5" t="s">
        <v>57</v>
      </c>
      <c r="B36" s="18">
        <v>67</v>
      </c>
      <c r="C36" s="12">
        <v>4589.2</v>
      </c>
      <c r="D36" s="12">
        <v>3494.77</v>
      </c>
      <c r="E36" s="12">
        <v>17115.41</v>
      </c>
      <c r="F36" s="12">
        <v>5002.9799999999996</v>
      </c>
      <c r="G36" s="12">
        <v>3009.31</v>
      </c>
      <c r="H36" s="12">
        <v>2557.9</v>
      </c>
      <c r="I36" s="12">
        <v>564.23</v>
      </c>
      <c r="J36" s="12">
        <v>3761.62</v>
      </c>
      <c r="K36" s="12">
        <v>0</v>
      </c>
      <c r="L36" s="12">
        <v>76.67</v>
      </c>
      <c r="M36" s="12">
        <f t="shared" si="0"/>
        <v>40172.090000000004</v>
      </c>
      <c r="N36" s="12">
        <v>5281.08</v>
      </c>
      <c r="O36" s="12">
        <v>8101.42</v>
      </c>
      <c r="P36" s="12">
        <v>4988.71</v>
      </c>
      <c r="Q36" s="12">
        <f t="shared" si="1"/>
        <v>58543.3</v>
      </c>
    </row>
    <row r="37" spans="1:17" x14ac:dyDescent="0.25">
      <c r="A37" s="5" t="s">
        <v>58</v>
      </c>
      <c r="B37" s="18">
        <v>511</v>
      </c>
      <c r="C37" s="12">
        <v>102479.12</v>
      </c>
      <c r="D37" s="12">
        <v>213763.58</v>
      </c>
      <c r="E37" s="12">
        <v>584634.80000000005</v>
      </c>
      <c r="F37" s="12">
        <v>0</v>
      </c>
      <c r="G37" s="12">
        <v>23519.75</v>
      </c>
      <c r="H37" s="12">
        <v>2856.26</v>
      </c>
      <c r="I37" s="12">
        <v>420.95</v>
      </c>
      <c r="J37" s="12">
        <v>0</v>
      </c>
      <c r="K37" s="12">
        <v>0</v>
      </c>
      <c r="L37" s="12">
        <v>50399.55</v>
      </c>
      <c r="M37" s="12">
        <f>SUM(C37:L37)</f>
        <v>978074.01</v>
      </c>
      <c r="N37" s="12">
        <v>107160.33</v>
      </c>
      <c r="O37" s="12">
        <v>192242.3</v>
      </c>
      <c r="P37" s="12">
        <v>103275.18</v>
      </c>
      <c r="Q37" s="12">
        <f t="shared" si="1"/>
        <v>1380751.82</v>
      </c>
    </row>
    <row r="38" spans="1:17" x14ac:dyDescent="0.25">
      <c r="A38" s="5" t="s">
        <v>59</v>
      </c>
      <c r="B38" s="18">
        <v>50</v>
      </c>
      <c r="C38" s="12">
        <v>2662.84</v>
      </c>
      <c r="D38" s="12">
        <v>3892.23</v>
      </c>
      <c r="E38" s="12">
        <v>8948.7999999999993</v>
      </c>
      <c r="F38" s="12">
        <v>1664.95</v>
      </c>
      <c r="G38" s="12">
        <v>1091.32</v>
      </c>
      <c r="H38" s="12">
        <v>916.74</v>
      </c>
      <c r="I38" s="12">
        <v>152.80000000000001</v>
      </c>
      <c r="J38" s="12">
        <v>982.18</v>
      </c>
      <c r="K38" s="12">
        <v>46.1</v>
      </c>
      <c r="L38" s="12"/>
      <c r="M38" s="12">
        <f t="shared" si="0"/>
        <v>20357.96</v>
      </c>
      <c r="N38" s="12">
        <v>2610.14</v>
      </c>
      <c r="O38" s="12">
        <v>4109.1000000000004</v>
      </c>
      <c r="P38" s="12">
        <v>2747.3</v>
      </c>
      <c r="Q38" s="12">
        <f t="shared" si="1"/>
        <v>29824.499999999996</v>
      </c>
    </row>
    <row r="39" spans="1:17" x14ac:dyDescent="0.25">
      <c r="A39" s="5" t="s">
        <v>167</v>
      </c>
      <c r="B39" s="18">
        <v>216</v>
      </c>
      <c r="C39" s="12">
        <v>25535</v>
      </c>
      <c r="D39" s="12">
        <v>25579.99</v>
      </c>
      <c r="E39" s="12">
        <v>121186.57</v>
      </c>
      <c r="F39" s="12">
        <v>12976.82</v>
      </c>
      <c r="G39" s="12">
        <v>12558.19</v>
      </c>
      <c r="H39" s="12">
        <v>5023.28</v>
      </c>
      <c r="I39" s="12">
        <v>1883.83</v>
      </c>
      <c r="J39" s="12"/>
      <c r="K39" s="12">
        <v>17530.11</v>
      </c>
      <c r="L39" s="12"/>
      <c r="M39" s="12">
        <f t="shared" si="0"/>
        <v>222273.78999999998</v>
      </c>
      <c r="N39" s="12">
        <v>25948.26</v>
      </c>
      <c r="O39" s="12">
        <v>44330.22</v>
      </c>
      <c r="P39" s="12">
        <v>31206.23</v>
      </c>
      <c r="Q39" s="12">
        <f t="shared" si="1"/>
        <v>323758.5</v>
      </c>
    </row>
    <row r="40" spans="1:17" x14ac:dyDescent="0.25">
      <c r="A40" s="5" t="s">
        <v>60</v>
      </c>
      <c r="B40" s="18">
        <v>234</v>
      </c>
      <c r="C40" s="12">
        <v>31041.62</v>
      </c>
      <c r="D40" s="12">
        <v>44424.69</v>
      </c>
      <c r="E40" s="12">
        <v>143331.10999999999</v>
      </c>
      <c r="F40" s="12">
        <v>21627.42</v>
      </c>
      <c r="G40" s="12">
        <v>14630.31</v>
      </c>
      <c r="H40" s="12">
        <v>3562.15</v>
      </c>
      <c r="I40" s="12">
        <v>2290.0100000000002</v>
      </c>
      <c r="J40" s="12">
        <v>0</v>
      </c>
      <c r="K40" s="12">
        <v>0</v>
      </c>
      <c r="L40" s="12">
        <v>0</v>
      </c>
      <c r="M40" s="12">
        <f t="shared" si="0"/>
        <v>260907.30999999997</v>
      </c>
      <c r="N40" s="12">
        <v>31643.96</v>
      </c>
      <c r="O40" s="12">
        <v>52415.65</v>
      </c>
      <c r="P40" s="12">
        <v>29483.69</v>
      </c>
      <c r="Q40" s="12">
        <f t="shared" si="1"/>
        <v>374450.61</v>
      </c>
    </row>
    <row r="41" spans="1:17" x14ac:dyDescent="0.25">
      <c r="A41" s="5" t="s">
        <v>61</v>
      </c>
      <c r="B41" s="18">
        <v>0</v>
      </c>
      <c r="C41" s="12">
        <v>0</v>
      </c>
      <c r="D41" s="12">
        <v>0</v>
      </c>
      <c r="E41" s="12">
        <v>0</v>
      </c>
      <c r="F41" s="12">
        <v>0</v>
      </c>
      <c r="G41" s="12">
        <v>0</v>
      </c>
      <c r="H41" s="12">
        <v>0</v>
      </c>
      <c r="I41" s="12">
        <v>0</v>
      </c>
      <c r="J41" s="12">
        <v>0</v>
      </c>
      <c r="K41" s="12">
        <v>0</v>
      </c>
      <c r="L41" s="12">
        <v>0</v>
      </c>
      <c r="M41" s="12">
        <f t="shared" si="0"/>
        <v>0</v>
      </c>
      <c r="N41" s="12">
        <v>0</v>
      </c>
      <c r="O41" s="12">
        <v>0</v>
      </c>
      <c r="P41" s="12">
        <v>0</v>
      </c>
      <c r="Q41" s="12">
        <f>SUM(M41:P41)</f>
        <v>0</v>
      </c>
    </row>
    <row r="42" spans="1:17" x14ac:dyDescent="0.25">
      <c r="A42" s="5" t="s">
        <v>62</v>
      </c>
      <c r="B42" s="18">
        <v>17</v>
      </c>
      <c r="C42" s="12">
        <v>1821.99</v>
      </c>
      <c r="D42" s="12">
        <v>1465.18</v>
      </c>
      <c r="E42" s="12">
        <v>9946.2099999999991</v>
      </c>
      <c r="F42" s="12">
        <v>1732.37</v>
      </c>
      <c r="G42" s="12">
        <v>821.41</v>
      </c>
      <c r="H42" s="12">
        <v>851.25</v>
      </c>
      <c r="I42" s="12">
        <v>134.44</v>
      </c>
      <c r="J42" s="12">
        <v>0</v>
      </c>
      <c r="K42" s="12">
        <v>2.14</v>
      </c>
      <c r="L42" s="12">
        <v>29.7</v>
      </c>
      <c r="M42" s="12">
        <f t="shared" si="0"/>
        <v>16804.689999999999</v>
      </c>
      <c r="N42" s="12">
        <v>2247.83</v>
      </c>
      <c r="O42" s="12">
        <v>3367.74</v>
      </c>
      <c r="P42" s="12">
        <v>1921.86</v>
      </c>
      <c r="Q42" s="12">
        <f t="shared" si="1"/>
        <v>24342.119999999995</v>
      </c>
    </row>
    <row r="43" spans="1:17" x14ac:dyDescent="0.25">
      <c r="A43" s="5" t="s">
        <v>63</v>
      </c>
      <c r="B43" s="18">
        <v>59</v>
      </c>
      <c r="C43" s="12">
        <v>4252.9399999999996</v>
      </c>
      <c r="D43" s="12">
        <v>3378.81</v>
      </c>
      <c r="E43" s="12">
        <v>22310.52</v>
      </c>
      <c r="F43" s="12">
        <v>2335.63</v>
      </c>
      <c r="G43" s="12">
        <v>1394.41</v>
      </c>
      <c r="H43" s="12">
        <v>1289.82</v>
      </c>
      <c r="I43" s="12">
        <v>287.45</v>
      </c>
      <c r="J43" s="12">
        <v>0</v>
      </c>
      <c r="K43" s="12">
        <v>2264.34</v>
      </c>
      <c r="L43" s="12">
        <v>5229.2299999999996</v>
      </c>
      <c r="M43" s="12">
        <f t="shared" si="0"/>
        <v>42743.149999999994</v>
      </c>
      <c r="N43" s="12">
        <v>5366.63</v>
      </c>
      <c r="O43" s="12">
        <v>8548.6200000000008</v>
      </c>
      <c r="P43" s="12">
        <v>5100.32</v>
      </c>
      <c r="Q43" s="12">
        <f t="shared" si="1"/>
        <v>61758.719999999994</v>
      </c>
    </row>
    <row r="44" spans="1:17" x14ac:dyDescent="0.25">
      <c r="A44" s="5" t="s">
        <v>64</v>
      </c>
      <c r="B44" s="18">
        <v>68</v>
      </c>
      <c r="C44" s="12">
        <v>6144.89</v>
      </c>
      <c r="D44" s="12">
        <v>7998.43</v>
      </c>
      <c r="E44" s="12">
        <v>32039.48</v>
      </c>
      <c r="F44" s="12">
        <v>3837.28</v>
      </c>
      <c r="G44" s="12">
        <v>1234.98</v>
      </c>
      <c r="H44" s="12">
        <v>1940.74</v>
      </c>
      <c r="I44" s="12">
        <v>441.07</v>
      </c>
      <c r="J44" s="12">
        <v>0</v>
      </c>
      <c r="K44" s="12">
        <v>1365.69</v>
      </c>
      <c r="L44" s="12">
        <v>720.06</v>
      </c>
      <c r="M44" s="12">
        <f t="shared" si="0"/>
        <v>55722.62</v>
      </c>
      <c r="N44" s="12">
        <v>7079.06</v>
      </c>
      <c r="O44" s="12">
        <v>11206.6</v>
      </c>
      <c r="P44" s="12">
        <v>6555.26</v>
      </c>
      <c r="Q44" s="12">
        <f t="shared" si="1"/>
        <v>80563.539999999994</v>
      </c>
    </row>
    <row r="45" spans="1:17" x14ac:dyDescent="0.25">
      <c r="A45" s="5" t="s">
        <v>65</v>
      </c>
      <c r="B45" s="18">
        <v>107</v>
      </c>
      <c r="C45" s="12">
        <v>7654.17</v>
      </c>
      <c r="D45" s="12">
        <v>6583.74</v>
      </c>
      <c r="E45" s="12">
        <v>18499.84</v>
      </c>
      <c r="F45" s="12">
        <v>3450.65</v>
      </c>
      <c r="G45" s="12">
        <v>2195.87</v>
      </c>
      <c r="H45" s="12">
        <v>0</v>
      </c>
      <c r="I45" s="12">
        <v>0</v>
      </c>
      <c r="J45" s="12">
        <v>0</v>
      </c>
      <c r="K45" s="12">
        <v>3008.05</v>
      </c>
      <c r="L45" s="12">
        <v>1965.52</v>
      </c>
      <c r="M45" s="12">
        <f t="shared" si="0"/>
        <v>43357.840000000004</v>
      </c>
      <c r="N45" s="12">
        <v>5449.65</v>
      </c>
      <c r="O45" s="12">
        <v>8735.7900000000009</v>
      </c>
      <c r="P45" s="12">
        <v>5865.93</v>
      </c>
      <c r="Q45" s="12">
        <f t="shared" si="1"/>
        <v>63409.210000000006</v>
      </c>
    </row>
    <row r="46" spans="1:17" x14ac:dyDescent="0.25">
      <c r="A46" s="5" t="s">
        <v>66</v>
      </c>
      <c r="B46" s="18">
        <v>62</v>
      </c>
      <c r="C46" s="12">
        <v>4734.53</v>
      </c>
      <c r="D46" s="12">
        <v>2871.28</v>
      </c>
      <c r="E46" s="12">
        <v>17890.259999999998</v>
      </c>
      <c r="F46" s="12">
        <v>2716.52</v>
      </c>
      <c r="G46" s="12">
        <v>1008.97</v>
      </c>
      <c r="H46" s="12">
        <v>1280.6600000000001</v>
      </c>
      <c r="I46" s="12">
        <v>0</v>
      </c>
      <c r="J46" s="12">
        <v>0</v>
      </c>
      <c r="K46" s="12">
        <v>0</v>
      </c>
      <c r="L46" s="12">
        <v>2108.9699999999998</v>
      </c>
      <c r="M46" s="12">
        <f t="shared" si="0"/>
        <v>32611.190000000002</v>
      </c>
      <c r="N46" s="12">
        <v>4268.34</v>
      </c>
      <c r="O46" s="12">
        <v>6586.2</v>
      </c>
      <c r="P46" s="12">
        <v>4161.1000000000004</v>
      </c>
      <c r="Q46" s="12">
        <f t="shared" si="1"/>
        <v>47626.829999999994</v>
      </c>
    </row>
    <row r="47" spans="1:17" x14ac:dyDescent="0.25">
      <c r="A47" s="5" t="s">
        <v>67</v>
      </c>
      <c r="B47" s="18">
        <v>24</v>
      </c>
      <c r="C47" s="12">
        <v>1312.96</v>
      </c>
      <c r="D47" s="12">
        <v>1507.11</v>
      </c>
      <c r="E47" s="12">
        <v>4995.18</v>
      </c>
      <c r="F47" s="12">
        <v>881.29</v>
      </c>
      <c r="G47" s="12">
        <v>356.75</v>
      </c>
      <c r="H47" s="12">
        <v>488.46</v>
      </c>
      <c r="I47" s="12"/>
      <c r="J47" s="12">
        <v>1076.19</v>
      </c>
      <c r="K47" s="12"/>
      <c r="L47" s="12">
        <v>1.07</v>
      </c>
      <c r="M47" s="12">
        <f t="shared" si="0"/>
        <v>10619.01</v>
      </c>
      <c r="N47" s="12">
        <v>1336.46</v>
      </c>
      <c r="O47" s="12">
        <v>2094.09</v>
      </c>
      <c r="P47" s="12">
        <v>1388.05</v>
      </c>
      <c r="Q47" s="12">
        <f t="shared" si="1"/>
        <v>15437.61</v>
      </c>
    </row>
    <row r="48" spans="1:17" x14ac:dyDescent="0.25">
      <c r="A48" s="5" t="s">
        <v>68</v>
      </c>
      <c r="B48" s="18">
        <v>243</v>
      </c>
      <c r="C48" s="12">
        <v>17574.599999999999</v>
      </c>
      <c r="D48" s="12">
        <v>38047.79</v>
      </c>
      <c r="E48" s="12">
        <v>114613.04</v>
      </c>
      <c r="F48" s="12">
        <v>15989.93</v>
      </c>
      <c r="G48" s="12">
        <v>8643.23</v>
      </c>
      <c r="H48" s="12">
        <v>2981.95</v>
      </c>
      <c r="I48" s="12">
        <v>0</v>
      </c>
      <c r="J48" s="12">
        <v>8690.0499999999993</v>
      </c>
      <c r="K48" s="12">
        <v>6216.7</v>
      </c>
      <c r="L48" s="12">
        <v>4837.68</v>
      </c>
      <c r="M48" s="12">
        <f t="shared" si="0"/>
        <v>217594.97</v>
      </c>
      <c r="N48" s="12">
        <v>27029.19</v>
      </c>
      <c r="O48" s="12">
        <v>43713.34</v>
      </c>
      <c r="P48" s="12">
        <v>25258.66</v>
      </c>
      <c r="Q48" s="12">
        <f t="shared" si="1"/>
        <v>313596.15999999997</v>
      </c>
    </row>
    <row r="49" spans="1:17" x14ac:dyDescent="0.25">
      <c r="A49" s="5" t="s">
        <v>69</v>
      </c>
      <c r="B49" s="18">
        <v>0</v>
      </c>
      <c r="C49" s="12">
        <v>0</v>
      </c>
      <c r="D49" s="12">
        <v>0</v>
      </c>
      <c r="E49" s="12">
        <v>0</v>
      </c>
      <c r="F49" s="12">
        <v>0</v>
      </c>
      <c r="G49" s="12">
        <v>0</v>
      </c>
      <c r="H49" s="12">
        <v>0</v>
      </c>
      <c r="I49" s="12">
        <v>0</v>
      </c>
      <c r="J49" s="12">
        <v>0</v>
      </c>
      <c r="K49" s="12">
        <v>0</v>
      </c>
      <c r="L49" s="12">
        <v>0</v>
      </c>
      <c r="M49" s="12">
        <f t="shared" si="0"/>
        <v>0</v>
      </c>
      <c r="N49" s="12">
        <v>0</v>
      </c>
      <c r="O49" s="12">
        <v>0</v>
      </c>
      <c r="P49" s="12">
        <v>0</v>
      </c>
      <c r="Q49" s="12">
        <f t="shared" si="1"/>
        <v>0</v>
      </c>
    </row>
    <row r="50" spans="1:17" x14ac:dyDescent="0.25">
      <c r="A50" s="5" t="s">
        <v>70</v>
      </c>
      <c r="B50" s="18">
        <v>236</v>
      </c>
      <c r="C50" s="12">
        <v>25756.07</v>
      </c>
      <c r="D50" s="12">
        <v>28761.47</v>
      </c>
      <c r="E50" s="12">
        <v>130992.29</v>
      </c>
      <c r="F50" s="12">
        <v>0</v>
      </c>
      <c r="G50" s="12">
        <v>4644.58</v>
      </c>
      <c r="H50" s="12">
        <v>2322.44</v>
      </c>
      <c r="I50" s="12">
        <v>316.83999999999997</v>
      </c>
      <c r="J50" s="12">
        <v>0</v>
      </c>
      <c r="K50" s="12">
        <v>4160</v>
      </c>
      <c r="L50" s="12">
        <v>2022.52</v>
      </c>
      <c r="M50" s="12">
        <f t="shared" si="0"/>
        <v>198976.20999999996</v>
      </c>
      <c r="N50" s="12">
        <v>22101.14</v>
      </c>
      <c r="O50" s="12">
        <v>39004.120000000003</v>
      </c>
      <c r="P50" s="12">
        <v>22806.3</v>
      </c>
      <c r="Q50" s="12">
        <f t="shared" si="1"/>
        <v>282887.76999999996</v>
      </c>
    </row>
    <row r="51" spans="1:17" x14ac:dyDescent="0.25">
      <c r="A51" s="5" t="s">
        <v>71</v>
      </c>
      <c r="B51" s="18">
        <v>174</v>
      </c>
      <c r="C51" s="12">
        <v>11909.37</v>
      </c>
      <c r="D51" s="12">
        <v>30713.95</v>
      </c>
      <c r="E51" s="12">
        <v>34909.449999999997</v>
      </c>
      <c r="F51" s="12">
        <v>6345.3</v>
      </c>
      <c r="G51" s="12">
        <v>3904.71</v>
      </c>
      <c r="H51" s="12">
        <v>6833.26</v>
      </c>
      <c r="I51" s="12">
        <v>976.21</v>
      </c>
      <c r="J51" s="12">
        <v>0</v>
      </c>
      <c r="K51" s="12">
        <v>0</v>
      </c>
      <c r="L51" s="12">
        <v>3071.75</v>
      </c>
      <c r="M51" s="12">
        <f t="shared" si="0"/>
        <v>98664</v>
      </c>
      <c r="N51" s="12">
        <v>13213.12</v>
      </c>
      <c r="O51" s="12">
        <v>20080.759999999998</v>
      </c>
      <c r="P51" s="12">
        <v>14738.57</v>
      </c>
      <c r="Q51" s="12">
        <f t="shared" si="1"/>
        <v>146696.45000000001</v>
      </c>
    </row>
    <row r="52" spans="1:17" x14ac:dyDescent="0.25">
      <c r="A52" s="5" t="s">
        <v>72</v>
      </c>
      <c r="B52" s="18">
        <v>54</v>
      </c>
      <c r="C52" s="12">
        <v>5407.82</v>
      </c>
      <c r="D52" s="12">
        <v>4953.3</v>
      </c>
      <c r="E52" s="12">
        <v>19994.75</v>
      </c>
      <c r="F52" s="12">
        <v>3102.86</v>
      </c>
      <c r="G52" s="12">
        <v>2216.3200000000002</v>
      </c>
      <c r="H52" s="12">
        <v>2216.3200000000002</v>
      </c>
      <c r="I52" s="12">
        <v>485.77</v>
      </c>
      <c r="J52" s="12">
        <v>0</v>
      </c>
      <c r="K52" s="12">
        <v>1897.93</v>
      </c>
      <c r="L52" s="12">
        <v>0</v>
      </c>
      <c r="M52" s="12">
        <f t="shared" si="0"/>
        <v>40275.069999999992</v>
      </c>
      <c r="N52" s="12">
        <v>4983.92</v>
      </c>
      <c r="O52" s="12">
        <v>8008.01</v>
      </c>
      <c r="P52" s="12">
        <v>4862.97</v>
      </c>
      <c r="Q52" s="12">
        <f t="shared" si="1"/>
        <v>58129.969999999994</v>
      </c>
    </row>
    <row r="53" spans="1:17" x14ac:dyDescent="0.25">
      <c r="A53" s="5" t="s">
        <v>73</v>
      </c>
      <c r="B53" s="18">
        <v>78</v>
      </c>
      <c r="C53" s="12">
        <v>4414.71</v>
      </c>
      <c r="D53" s="12">
        <v>4642.2700000000004</v>
      </c>
      <c r="E53" s="12">
        <v>19271.04</v>
      </c>
      <c r="F53" s="12">
        <v>2134.9899999999998</v>
      </c>
      <c r="G53" s="12"/>
      <c r="H53" s="12"/>
      <c r="I53" s="12"/>
      <c r="J53" s="12">
        <v>2677.78</v>
      </c>
      <c r="K53" s="12">
        <v>2590.65</v>
      </c>
      <c r="L53" s="12">
        <v>2.89</v>
      </c>
      <c r="M53" s="12">
        <f t="shared" si="0"/>
        <v>35734.33</v>
      </c>
      <c r="N53" s="12">
        <v>4392.0600000000004</v>
      </c>
      <c r="O53" s="12">
        <v>7141.44</v>
      </c>
      <c r="P53" s="12">
        <v>4662.7299999999996</v>
      </c>
      <c r="Q53" s="12">
        <f t="shared" si="1"/>
        <v>51930.559999999998</v>
      </c>
    </row>
    <row r="54" spans="1:17" x14ac:dyDescent="0.25">
      <c r="A54" s="5" t="s">
        <v>74</v>
      </c>
      <c r="B54" s="18">
        <v>76</v>
      </c>
      <c r="C54" s="12">
        <v>8293.0300000000007</v>
      </c>
      <c r="D54" s="12">
        <v>8561.5499999999993</v>
      </c>
      <c r="E54" s="12">
        <v>35959.18</v>
      </c>
      <c r="F54" s="12">
        <v>5302.14</v>
      </c>
      <c r="G54" s="12">
        <v>1767.35</v>
      </c>
      <c r="H54" s="12">
        <v>1835.37</v>
      </c>
      <c r="I54" s="12"/>
      <c r="J54" s="12"/>
      <c r="K54" s="12"/>
      <c r="L54" s="12"/>
      <c r="M54" s="12">
        <f t="shared" si="0"/>
        <v>61718.62</v>
      </c>
      <c r="N54" s="12">
        <v>7411.14</v>
      </c>
      <c r="O54" s="12">
        <v>12389.36</v>
      </c>
      <c r="P54" s="12">
        <v>7258.69</v>
      </c>
      <c r="Q54" s="12">
        <f t="shared" si="1"/>
        <v>88777.810000000012</v>
      </c>
    </row>
    <row r="55" spans="1:17" x14ac:dyDescent="0.25">
      <c r="A55" s="5" t="s">
        <v>75</v>
      </c>
      <c r="B55" s="18">
        <v>105</v>
      </c>
      <c r="C55" s="12">
        <v>5782.32</v>
      </c>
      <c r="D55" s="12">
        <v>6385.33</v>
      </c>
      <c r="E55" s="12">
        <v>51280.21</v>
      </c>
      <c r="F55" s="12">
        <v>3886.47</v>
      </c>
      <c r="G55" s="12">
        <v>1895.85</v>
      </c>
      <c r="H55" s="12">
        <v>2132.84</v>
      </c>
      <c r="I55" s="12">
        <v>331.76</v>
      </c>
      <c r="J55" s="12">
        <v>0</v>
      </c>
      <c r="K55" s="12">
        <v>2219.9899999999998</v>
      </c>
      <c r="L55" s="12">
        <v>366.23</v>
      </c>
      <c r="M55" s="12">
        <f t="shared" si="0"/>
        <v>74281</v>
      </c>
      <c r="N55" s="12">
        <v>9229.41</v>
      </c>
      <c r="O55" s="12">
        <v>14898.24</v>
      </c>
      <c r="P55" s="12">
        <v>9234.0400000000009</v>
      </c>
      <c r="Q55" s="12">
        <f t="shared" si="1"/>
        <v>107642.69</v>
      </c>
    </row>
    <row r="56" spans="1:17" x14ac:dyDescent="0.25">
      <c r="A56" s="5" t="s">
        <v>76</v>
      </c>
      <c r="B56" s="18">
        <v>13</v>
      </c>
      <c r="C56" s="12">
        <v>596.16</v>
      </c>
      <c r="D56" s="12">
        <v>875.98</v>
      </c>
      <c r="E56" s="12">
        <v>2614.27</v>
      </c>
      <c r="F56" s="12">
        <v>0</v>
      </c>
      <c r="G56" s="12">
        <v>156.38</v>
      </c>
      <c r="H56" s="12">
        <v>263.87</v>
      </c>
      <c r="I56" s="12">
        <v>63.53</v>
      </c>
      <c r="J56" s="12">
        <v>0</v>
      </c>
      <c r="K56" s="12">
        <v>348.79</v>
      </c>
      <c r="L56" s="12">
        <v>136.9</v>
      </c>
      <c r="M56" s="12">
        <f t="shared" si="0"/>
        <v>5055.8799999999992</v>
      </c>
      <c r="N56" s="12">
        <v>645.46</v>
      </c>
      <c r="O56" s="12">
        <v>1012.99</v>
      </c>
      <c r="P56" s="12">
        <v>686.29</v>
      </c>
      <c r="Q56" s="12">
        <f t="shared" si="1"/>
        <v>7400.619999999999</v>
      </c>
    </row>
    <row r="57" spans="1:17" x14ac:dyDescent="0.25">
      <c r="A57" s="5" t="s">
        <v>158</v>
      </c>
      <c r="B57" s="18">
        <v>24</v>
      </c>
      <c r="C57" s="12">
        <v>3846.66</v>
      </c>
      <c r="D57" s="12">
        <v>5274.08</v>
      </c>
      <c r="E57" s="12">
        <v>18946.21</v>
      </c>
      <c r="F57" s="12"/>
      <c r="G57" s="12">
        <v>1229.44</v>
      </c>
      <c r="H57" s="12">
        <v>535.55999999999995</v>
      </c>
      <c r="I57" s="12"/>
      <c r="J57" s="12"/>
      <c r="K57" s="12"/>
      <c r="L57" s="12">
        <v>4181.72</v>
      </c>
      <c r="M57" s="12">
        <f t="shared" si="0"/>
        <v>34013.67</v>
      </c>
      <c r="N57" s="12">
        <v>3867.28</v>
      </c>
      <c r="O57" s="12">
        <v>6876.79</v>
      </c>
      <c r="P57" s="12">
        <v>4439</v>
      </c>
      <c r="Q57" s="12">
        <f t="shared" si="1"/>
        <v>49196.74</v>
      </c>
    </row>
    <row r="58" spans="1:17" x14ac:dyDescent="0.25">
      <c r="A58" s="5" t="s">
        <v>77</v>
      </c>
      <c r="B58" s="18">
        <v>23</v>
      </c>
      <c r="C58" s="12">
        <v>1430.06</v>
      </c>
      <c r="D58" s="12">
        <v>912.09</v>
      </c>
      <c r="E58" s="12">
        <v>6997.93</v>
      </c>
      <c r="F58" s="12">
        <v>1406.62</v>
      </c>
      <c r="G58" s="12">
        <v>586.09</v>
      </c>
      <c r="H58" s="12">
        <v>761.94</v>
      </c>
      <c r="I58" s="12">
        <v>316.49</v>
      </c>
      <c r="J58" s="12">
        <v>703.31</v>
      </c>
      <c r="K58" s="12">
        <v>1.22</v>
      </c>
      <c r="L58" s="12">
        <v>0</v>
      </c>
      <c r="M58" s="12">
        <f t="shared" si="0"/>
        <v>13115.75</v>
      </c>
      <c r="N58" s="12">
        <v>1736.12</v>
      </c>
      <c r="O58" s="12">
        <v>2646.06</v>
      </c>
      <c r="P58" s="12">
        <v>2174.09</v>
      </c>
      <c r="Q58" s="12">
        <f t="shared" si="1"/>
        <v>19672.02</v>
      </c>
    </row>
    <row r="59" spans="1:17" x14ac:dyDescent="0.25">
      <c r="A59" s="28" t="s">
        <v>177</v>
      </c>
      <c r="B59" s="18">
        <v>2443</v>
      </c>
      <c r="C59" s="12">
        <v>235598.84</v>
      </c>
      <c r="D59" s="12">
        <v>381722.62</v>
      </c>
      <c r="E59" s="12">
        <v>1371256.71</v>
      </c>
      <c r="F59" s="12">
        <v>0</v>
      </c>
      <c r="G59" s="12">
        <v>0</v>
      </c>
      <c r="H59" s="12">
        <v>0</v>
      </c>
      <c r="I59" s="12">
        <v>0</v>
      </c>
      <c r="J59" s="12">
        <v>0</v>
      </c>
      <c r="K59" s="12">
        <v>192987.61</v>
      </c>
      <c r="L59" s="12">
        <v>706796.51</v>
      </c>
      <c r="M59" s="12">
        <f t="shared" si="0"/>
        <v>2888362.29</v>
      </c>
      <c r="N59" s="12">
        <v>327536.2</v>
      </c>
      <c r="O59" s="12">
        <v>554708.46</v>
      </c>
      <c r="P59" s="12">
        <v>379960.13</v>
      </c>
      <c r="Q59" s="12">
        <f t="shared" si="1"/>
        <v>4150567.08</v>
      </c>
    </row>
    <row r="60" spans="1:17" x14ac:dyDescent="0.25">
      <c r="A60" s="5" t="s">
        <v>79</v>
      </c>
      <c r="B60" s="18">
        <v>130</v>
      </c>
      <c r="C60" s="12">
        <v>19847.28</v>
      </c>
      <c r="D60" s="12">
        <v>11451.73</v>
      </c>
      <c r="E60" s="12">
        <v>104767.16</v>
      </c>
      <c r="F60" s="12">
        <v>14966.84</v>
      </c>
      <c r="G60" s="12">
        <v>3091.02</v>
      </c>
      <c r="H60" s="12"/>
      <c r="I60" s="12"/>
      <c r="J60" s="12"/>
      <c r="K60" s="12">
        <v>4308.75</v>
      </c>
      <c r="L60" s="12"/>
      <c r="M60" s="12">
        <f t="shared" si="0"/>
        <v>158432.78</v>
      </c>
      <c r="N60" s="12">
        <v>18375.68</v>
      </c>
      <c r="O60" s="12">
        <v>31478.75</v>
      </c>
      <c r="P60" s="12">
        <v>17689.330000000002</v>
      </c>
      <c r="Q60" s="12">
        <f t="shared" si="1"/>
        <v>225976.53999999998</v>
      </c>
    </row>
    <row r="61" spans="1:17" x14ac:dyDescent="0.25">
      <c r="A61" s="5" t="s">
        <v>80</v>
      </c>
      <c r="B61" s="18">
        <v>67</v>
      </c>
      <c r="C61" s="12">
        <v>3932.18</v>
      </c>
      <c r="D61" s="12">
        <v>3137.71</v>
      </c>
      <c r="E61" s="12">
        <v>8825.81</v>
      </c>
      <c r="F61" s="12">
        <v>2739.59</v>
      </c>
      <c r="G61" s="12">
        <v>1289.22</v>
      </c>
      <c r="H61" s="12">
        <v>934.73</v>
      </c>
      <c r="I61" s="12">
        <v>225.61</v>
      </c>
      <c r="J61" s="12"/>
      <c r="K61" s="12">
        <v>912.56</v>
      </c>
      <c r="L61" s="12"/>
      <c r="M61" s="12">
        <f t="shared" si="0"/>
        <v>21997.410000000003</v>
      </c>
      <c r="N61" s="12">
        <v>2861.97</v>
      </c>
      <c r="O61" s="12">
        <v>4443.3599999999997</v>
      </c>
      <c r="P61" s="12">
        <v>3165.13</v>
      </c>
      <c r="Q61" s="12">
        <f t="shared" si="1"/>
        <v>32467.870000000006</v>
      </c>
    </row>
    <row r="62" spans="1:17" x14ac:dyDescent="0.25">
      <c r="A62" s="5" t="s">
        <v>81</v>
      </c>
      <c r="B62" s="18">
        <v>501</v>
      </c>
      <c r="C62" s="12">
        <v>66261.62</v>
      </c>
      <c r="D62" s="12">
        <v>80382.899999999994</v>
      </c>
      <c r="E62" s="12">
        <v>510793.35</v>
      </c>
      <c r="F62" s="12">
        <v>61373.63</v>
      </c>
      <c r="G62" s="12">
        <v>10862.56</v>
      </c>
      <c r="H62" s="12">
        <v>4888.32</v>
      </c>
      <c r="I62" s="12">
        <v>0</v>
      </c>
      <c r="J62" s="12">
        <v>0</v>
      </c>
      <c r="K62" s="12">
        <v>16231.56</v>
      </c>
      <c r="L62" s="12">
        <v>15930.16</v>
      </c>
      <c r="M62" s="12">
        <f t="shared" si="0"/>
        <v>766724.10000000009</v>
      </c>
      <c r="N62" s="12">
        <v>91264.21</v>
      </c>
      <c r="O62" s="12">
        <v>154346.91</v>
      </c>
      <c r="P62" s="12">
        <v>98215.47</v>
      </c>
      <c r="Q62" s="12">
        <f t="shared" si="1"/>
        <v>1110550.6900000002</v>
      </c>
    </row>
    <row r="63" spans="1:17" x14ac:dyDescent="0.25">
      <c r="A63" s="5" t="s">
        <v>82</v>
      </c>
      <c r="B63" s="18">
        <v>94</v>
      </c>
      <c r="C63" s="12">
        <v>6254.96</v>
      </c>
      <c r="D63" s="12">
        <v>8107.85</v>
      </c>
      <c r="E63" s="12">
        <v>26358.36</v>
      </c>
      <c r="F63" s="12"/>
      <c r="G63" s="12">
        <v>1589.38</v>
      </c>
      <c r="H63" s="12">
        <v>2709.8</v>
      </c>
      <c r="I63" s="12">
        <v>615.17999999999995</v>
      </c>
      <c r="J63" s="12"/>
      <c r="K63" s="12"/>
      <c r="L63" s="12">
        <v>29.76</v>
      </c>
      <c r="M63" s="12">
        <f t="shared" si="0"/>
        <v>45665.29</v>
      </c>
      <c r="N63" s="12">
        <v>5889.39</v>
      </c>
      <c r="O63" s="12">
        <v>8926.77</v>
      </c>
      <c r="P63" s="12">
        <v>5873.13</v>
      </c>
      <c r="Q63" s="12">
        <f t="shared" si="1"/>
        <v>66354.58</v>
      </c>
    </row>
    <row r="64" spans="1:17" x14ac:dyDescent="0.25">
      <c r="A64" s="5" t="s">
        <v>83</v>
      </c>
      <c r="B64" s="18">
        <v>120</v>
      </c>
      <c r="C64" s="12">
        <v>7142.94</v>
      </c>
      <c r="D64" s="12">
        <v>6981.83</v>
      </c>
      <c r="E64" s="12">
        <v>22940.33</v>
      </c>
      <c r="F64" s="12">
        <v>3395.84</v>
      </c>
      <c r="G64" s="12">
        <v>2341.9699999999998</v>
      </c>
      <c r="H64" s="12"/>
      <c r="I64" s="12">
        <v>995.29</v>
      </c>
      <c r="J64" s="12">
        <v>3044.52</v>
      </c>
      <c r="K64" s="12">
        <v>411.21</v>
      </c>
      <c r="L64" s="12">
        <v>2110.31</v>
      </c>
      <c r="M64" s="12">
        <f t="shared" si="0"/>
        <v>49364.24</v>
      </c>
      <c r="N64" s="38">
        <v>6442.08</v>
      </c>
      <c r="O64" s="12">
        <v>9992.92</v>
      </c>
      <c r="P64" s="12">
        <v>6686.45</v>
      </c>
      <c r="Q64" s="12">
        <f t="shared" si="1"/>
        <v>72485.69</v>
      </c>
    </row>
    <row r="65" spans="1:17" x14ac:dyDescent="0.25">
      <c r="A65" s="5" t="s">
        <v>84</v>
      </c>
      <c r="B65" s="18">
        <v>27</v>
      </c>
      <c r="C65" s="12">
        <v>2181.2800000000002</v>
      </c>
      <c r="D65" s="12">
        <v>3288.99</v>
      </c>
      <c r="E65" s="12">
        <v>7992.91</v>
      </c>
      <c r="F65" s="12">
        <v>997.96</v>
      </c>
      <c r="G65" s="12">
        <v>494.04</v>
      </c>
      <c r="H65" s="12">
        <v>744.01</v>
      </c>
      <c r="I65" s="12">
        <v>0</v>
      </c>
      <c r="J65" s="12">
        <v>0</v>
      </c>
      <c r="K65" s="12">
        <v>0</v>
      </c>
      <c r="L65" s="12">
        <v>0</v>
      </c>
      <c r="M65" s="12">
        <f t="shared" si="0"/>
        <v>15699.19</v>
      </c>
      <c r="N65" s="12">
        <v>2588.86</v>
      </c>
      <c r="O65" s="12">
        <v>3911.79</v>
      </c>
      <c r="P65" s="12">
        <v>1956.15</v>
      </c>
      <c r="Q65" s="12">
        <f t="shared" si="1"/>
        <v>24155.99</v>
      </c>
    </row>
    <row r="66" spans="1:17" x14ac:dyDescent="0.25">
      <c r="A66" s="5" t="s">
        <v>85</v>
      </c>
      <c r="B66" s="18">
        <v>162</v>
      </c>
      <c r="C66" s="12">
        <v>14979.7</v>
      </c>
      <c r="D66" s="12">
        <v>7612.63</v>
      </c>
      <c r="E66" s="12">
        <v>60026.38</v>
      </c>
      <c r="F66" s="12">
        <v>9822.76</v>
      </c>
      <c r="G66" s="12">
        <v>4911.37</v>
      </c>
      <c r="H66" s="12">
        <v>3192.37</v>
      </c>
      <c r="I66" s="12">
        <v>491.15</v>
      </c>
      <c r="J66" s="12">
        <v>0</v>
      </c>
      <c r="K66" s="12">
        <v>702.44</v>
      </c>
      <c r="L66" s="12">
        <v>0</v>
      </c>
      <c r="M66" s="12">
        <f t="shared" si="0"/>
        <v>101738.79999999997</v>
      </c>
      <c r="N66" s="12">
        <v>12594.81</v>
      </c>
      <c r="O66" s="12">
        <v>20671.7</v>
      </c>
      <c r="P66" s="12">
        <v>14547.9</v>
      </c>
      <c r="Q66" s="12">
        <f t="shared" si="1"/>
        <v>149553.20999999996</v>
      </c>
    </row>
    <row r="67" spans="1:17" x14ac:dyDescent="0.25">
      <c r="A67" s="5" t="s">
        <v>86</v>
      </c>
      <c r="B67" s="18">
        <v>55</v>
      </c>
      <c r="C67" s="12">
        <v>3063.03</v>
      </c>
      <c r="D67" s="12">
        <v>4788.2700000000004</v>
      </c>
      <c r="E67" s="12">
        <v>12528.34</v>
      </c>
      <c r="F67" s="12">
        <v>3916.65</v>
      </c>
      <c r="G67" s="12">
        <v>753.21</v>
      </c>
      <c r="H67" s="12">
        <v>1531.53</v>
      </c>
      <c r="I67" s="12">
        <v>527.25</v>
      </c>
      <c r="J67" s="12"/>
      <c r="K67" s="12">
        <v>222.89</v>
      </c>
      <c r="L67" s="12">
        <v>702.45</v>
      </c>
      <c r="M67" s="12">
        <f t="shared" si="0"/>
        <v>28033.62</v>
      </c>
      <c r="N67" s="12">
        <v>3471.64</v>
      </c>
      <c r="O67" s="12">
        <v>5501.29</v>
      </c>
      <c r="P67" s="12">
        <v>3506.63</v>
      </c>
      <c r="Q67" s="12">
        <f t="shared" si="1"/>
        <v>40513.179999999993</v>
      </c>
    </row>
    <row r="68" spans="1:17" x14ac:dyDescent="0.25">
      <c r="A68" s="5" t="s">
        <v>87</v>
      </c>
      <c r="B68" s="18">
        <v>0</v>
      </c>
      <c r="C68" s="12"/>
      <c r="D68" s="12"/>
      <c r="E68" s="12"/>
      <c r="F68" s="12"/>
      <c r="G68" s="12"/>
      <c r="H68" s="12"/>
      <c r="I68" s="12"/>
      <c r="J68" s="12"/>
      <c r="K68" s="12"/>
      <c r="L68" s="12"/>
      <c r="M68" s="12">
        <f t="shared" si="0"/>
        <v>0</v>
      </c>
      <c r="N68" s="12"/>
      <c r="O68" s="12"/>
      <c r="P68" s="12"/>
      <c r="Q68" s="12">
        <f t="shared" ref="Q68:Q99" si="2">SUM(M68:P68)</f>
        <v>0</v>
      </c>
    </row>
    <row r="69" spans="1:17" x14ac:dyDescent="0.25">
      <c r="A69" s="5" t="s">
        <v>88</v>
      </c>
      <c r="B69" s="18">
        <v>7</v>
      </c>
      <c r="C69" s="12">
        <v>101.52</v>
      </c>
      <c r="D69" s="12">
        <v>193.32</v>
      </c>
      <c r="E69" s="12">
        <v>425.21</v>
      </c>
      <c r="F69" s="12">
        <v>90.71</v>
      </c>
      <c r="G69" s="12">
        <v>33.28</v>
      </c>
      <c r="H69" s="12">
        <v>59.07</v>
      </c>
      <c r="I69" s="12">
        <v>12.48</v>
      </c>
      <c r="J69" s="12"/>
      <c r="K69" s="12">
        <v>14.62</v>
      </c>
      <c r="L69" s="12"/>
      <c r="M69" s="12">
        <f t="shared" ref="M69:M123" si="3">SUM(C69:L69)</f>
        <v>930.21</v>
      </c>
      <c r="N69" s="12">
        <v>112.02</v>
      </c>
      <c r="O69" s="12">
        <v>185.34</v>
      </c>
      <c r="P69" s="12">
        <v>386.67</v>
      </c>
      <c r="Q69" s="12">
        <f t="shared" si="2"/>
        <v>1614.24</v>
      </c>
    </row>
    <row r="70" spans="1:17" x14ac:dyDescent="0.25">
      <c r="A70" s="5" t="s">
        <v>89</v>
      </c>
      <c r="B70" s="18">
        <v>104</v>
      </c>
      <c r="C70" s="12">
        <v>5300.82</v>
      </c>
      <c r="D70" s="12">
        <v>6087.99</v>
      </c>
      <c r="E70" s="12">
        <v>25352.22</v>
      </c>
      <c r="F70" s="12">
        <v>3646.57</v>
      </c>
      <c r="G70" s="12">
        <v>3475.95</v>
      </c>
      <c r="H70" s="12">
        <v>2531.13</v>
      </c>
      <c r="I70" s="12">
        <v>521.39</v>
      </c>
      <c r="J70" s="12">
        <v>0</v>
      </c>
      <c r="K70" s="12">
        <v>0</v>
      </c>
      <c r="L70" s="12">
        <v>121.86</v>
      </c>
      <c r="M70" s="12">
        <f t="shared" si="3"/>
        <v>47037.929999999993</v>
      </c>
      <c r="N70" s="12">
        <v>6165.49</v>
      </c>
      <c r="O70" s="12">
        <v>9378.81</v>
      </c>
      <c r="P70" s="12">
        <v>6128.57</v>
      </c>
      <c r="Q70" s="12">
        <f t="shared" si="2"/>
        <v>68710.799999999988</v>
      </c>
    </row>
    <row r="71" spans="1:17" x14ac:dyDescent="0.25">
      <c r="A71" s="5" t="s">
        <v>90</v>
      </c>
      <c r="B71" s="18">
        <v>97</v>
      </c>
      <c r="C71" s="12">
        <v>4037.2</v>
      </c>
      <c r="D71" s="12">
        <v>4758.3</v>
      </c>
      <c r="E71" s="12">
        <v>13667.08</v>
      </c>
      <c r="F71" s="12">
        <v>2018.69</v>
      </c>
      <c r="G71" s="12">
        <v>1158.3499999999999</v>
      </c>
      <c r="H71" s="12">
        <v>1853.15</v>
      </c>
      <c r="I71" s="12">
        <v>0</v>
      </c>
      <c r="J71" s="12">
        <v>0</v>
      </c>
      <c r="K71" s="12">
        <v>1963.73</v>
      </c>
      <c r="L71" s="12">
        <v>0</v>
      </c>
      <c r="M71" s="12">
        <f t="shared" si="3"/>
        <v>29456.5</v>
      </c>
      <c r="N71" s="12">
        <v>3865.8</v>
      </c>
      <c r="O71" s="12">
        <v>6012.46</v>
      </c>
      <c r="P71" s="12">
        <v>3915.27</v>
      </c>
      <c r="Q71" s="12">
        <f t="shared" si="2"/>
        <v>43250.03</v>
      </c>
    </row>
    <row r="72" spans="1:17" x14ac:dyDescent="0.25">
      <c r="A72" s="5" t="s">
        <v>91</v>
      </c>
      <c r="B72" s="18">
        <v>57</v>
      </c>
      <c r="C72" s="12">
        <v>3861.7</v>
      </c>
      <c r="D72" s="12">
        <v>3262.69</v>
      </c>
      <c r="E72" s="12">
        <v>14497.13</v>
      </c>
      <c r="F72" s="12">
        <v>2310.71</v>
      </c>
      <c r="G72" s="12">
        <v>1266.1199999999999</v>
      </c>
      <c r="H72" s="12">
        <v>1234.55</v>
      </c>
      <c r="I72" s="12">
        <v>0</v>
      </c>
      <c r="J72" s="12">
        <v>1392.75</v>
      </c>
      <c r="K72" s="12">
        <v>1778.9</v>
      </c>
      <c r="L72" s="12">
        <v>0</v>
      </c>
      <c r="M72" s="12">
        <f t="shared" si="3"/>
        <v>29604.549999999996</v>
      </c>
      <c r="N72" s="12">
        <v>3732.82</v>
      </c>
      <c r="O72" s="12">
        <v>5826.27</v>
      </c>
      <c r="P72" s="12">
        <v>3508.08</v>
      </c>
      <c r="Q72" s="12">
        <f t="shared" si="2"/>
        <v>42671.72</v>
      </c>
    </row>
    <row r="73" spans="1:17" x14ac:dyDescent="0.25">
      <c r="A73" s="5" t="s">
        <v>92</v>
      </c>
      <c r="B73" s="18">
        <v>26</v>
      </c>
      <c r="C73" s="12">
        <v>1425.29</v>
      </c>
      <c r="D73" s="12">
        <v>1598.24</v>
      </c>
      <c r="E73" s="12">
        <v>5210.45</v>
      </c>
      <c r="F73" s="12">
        <v>0</v>
      </c>
      <c r="G73" s="12">
        <v>350.48</v>
      </c>
      <c r="H73" s="12">
        <v>537.4</v>
      </c>
      <c r="I73" s="12">
        <v>179.94</v>
      </c>
      <c r="J73" s="12">
        <v>0</v>
      </c>
      <c r="K73" s="12">
        <v>1171.42</v>
      </c>
      <c r="L73" s="12">
        <v>3.6</v>
      </c>
      <c r="M73" s="12">
        <f t="shared" si="3"/>
        <v>10476.82</v>
      </c>
      <c r="N73" s="12">
        <v>1336.22</v>
      </c>
      <c r="O73" s="12">
        <v>2053.7600000000002</v>
      </c>
      <c r="P73" s="12">
        <v>1416.85</v>
      </c>
      <c r="Q73" s="12">
        <f t="shared" si="2"/>
        <v>15283.65</v>
      </c>
    </row>
    <row r="74" spans="1:17" x14ac:dyDescent="0.25">
      <c r="A74" s="5" t="s">
        <v>93</v>
      </c>
      <c r="B74" s="18">
        <v>51</v>
      </c>
      <c r="C74" s="12">
        <v>3425.82</v>
      </c>
      <c r="D74" s="12">
        <v>4058.46</v>
      </c>
      <c r="E74" s="12">
        <v>13792.01</v>
      </c>
      <c r="F74" s="12">
        <v>2499.19</v>
      </c>
      <c r="G74" s="12">
        <v>561.59</v>
      </c>
      <c r="H74" s="12">
        <v>1432.13</v>
      </c>
      <c r="I74" s="12">
        <v>421.27</v>
      </c>
      <c r="J74" s="12">
        <v>0</v>
      </c>
      <c r="K74" s="12">
        <v>207.27</v>
      </c>
      <c r="L74" s="12">
        <v>0</v>
      </c>
      <c r="M74" s="12">
        <f t="shared" si="3"/>
        <v>26397.74</v>
      </c>
      <c r="N74" s="12">
        <v>3310.29</v>
      </c>
      <c r="O74" s="12">
        <v>5299.48</v>
      </c>
      <c r="P74" s="12">
        <v>3108.8</v>
      </c>
      <c r="Q74" s="12">
        <f t="shared" si="2"/>
        <v>38116.310000000005</v>
      </c>
    </row>
    <row r="75" spans="1:17" x14ac:dyDescent="0.25">
      <c r="A75" s="5" t="s">
        <v>94</v>
      </c>
      <c r="B75" s="18">
        <v>8</v>
      </c>
      <c r="C75" s="12">
        <v>771.6</v>
      </c>
      <c r="D75" s="12">
        <v>745.39</v>
      </c>
      <c r="E75" s="12">
        <v>2687.98</v>
      </c>
      <c r="F75" s="12">
        <v>316.23</v>
      </c>
      <c r="G75" s="12">
        <v>189.74</v>
      </c>
      <c r="H75" s="12">
        <v>240.33</v>
      </c>
      <c r="I75" s="12">
        <v>0</v>
      </c>
      <c r="J75" s="12">
        <v>480.67</v>
      </c>
      <c r="K75" s="12">
        <v>279.52999999999997</v>
      </c>
      <c r="L75" s="12">
        <v>0</v>
      </c>
      <c r="M75" s="12">
        <f t="shared" si="3"/>
        <v>5711.47</v>
      </c>
      <c r="N75" s="12">
        <v>746.36</v>
      </c>
      <c r="O75" s="12">
        <v>1139.08</v>
      </c>
      <c r="P75" s="12">
        <v>645.54</v>
      </c>
      <c r="Q75" s="12">
        <f t="shared" si="2"/>
        <v>8242.4500000000007</v>
      </c>
    </row>
    <row r="76" spans="1:17" x14ac:dyDescent="0.25">
      <c r="A76" s="5" t="s">
        <v>95</v>
      </c>
      <c r="B76" s="18">
        <v>176</v>
      </c>
      <c r="C76" s="12">
        <v>25822.91</v>
      </c>
      <c r="D76" s="12">
        <v>23980.26</v>
      </c>
      <c r="E76" s="12">
        <v>64930.83</v>
      </c>
      <c r="F76" s="12">
        <v>12699.77</v>
      </c>
      <c r="G76" s="12">
        <v>5079.8900000000003</v>
      </c>
      <c r="H76" s="12">
        <v>2646.07</v>
      </c>
      <c r="I76" s="12">
        <v>0</v>
      </c>
      <c r="J76" s="12">
        <v>0</v>
      </c>
      <c r="K76" s="12">
        <v>6390.56</v>
      </c>
      <c r="L76" s="12">
        <v>4365.0200000000004</v>
      </c>
      <c r="M76" s="12">
        <f t="shared" si="3"/>
        <v>145915.31</v>
      </c>
      <c r="N76" s="12">
        <v>17879.39</v>
      </c>
      <c r="O76" s="12">
        <v>28760.66</v>
      </c>
      <c r="P76" s="12">
        <v>16844.41</v>
      </c>
      <c r="Q76" s="12">
        <f t="shared" si="2"/>
        <v>209399.77000000002</v>
      </c>
    </row>
    <row r="77" spans="1:17" x14ac:dyDescent="0.25">
      <c r="A77" s="5" t="s">
        <v>96</v>
      </c>
      <c r="B77" s="18">
        <v>21</v>
      </c>
      <c r="C77" s="12">
        <v>1321.15</v>
      </c>
      <c r="D77" s="12">
        <v>1196.77</v>
      </c>
      <c r="E77" s="12">
        <v>4310.0200000000004</v>
      </c>
      <c r="F77" s="12">
        <v>1044.77</v>
      </c>
      <c r="G77" s="12">
        <v>66.349999999999994</v>
      </c>
      <c r="H77" s="12">
        <v>0</v>
      </c>
      <c r="I77" s="12">
        <v>732.67</v>
      </c>
      <c r="J77" s="12">
        <v>1.18</v>
      </c>
      <c r="K77" s="12">
        <v>532.67999999999995</v>
      </c>
      <c r="L77" s="12">
        <v>150.91</v>
      </c>
      <c r="M77" s="12">
        <f t="shared" si="3"/>
        <v>9356.5000000000018</v>
      </c>
      <c r="N77" s="12">
        <v>1154.8599999999999</v>
      </c>
      <c r="O77" s="12">
        <v>1858.69</v>
      </c>
      <c r="P77" s="12">
        <v>1233.83</v>
      </c>
      <c r="Q77" s="12">
        <f t="shared" si="2"/>
        <v>13603.880000000003</v>
      </c>
    </row>
    <row r="78" spans="1:17" x14ac:dyDescent="0.25">
      <c r="A78" s="5" t="s">
        <v>97</v>
      </c>
      <c r="B78" s="18">
        <v>4</v>
      </c>
      <c r="C78" s="12">
        <v>555.29</v>
      </c>
      <c r="D78" s="12">
        <v>700.53</v>
      </c>
      <c r="E78" s="12">
        <v>2453.29</v>
      </c>
      <c r="F78" s="12">
        <v>172.96</v>
      </c>
      <c r="G78" s="12">
        <v>168.41</v>
      </c>
      <c r="H78" s="12">
        <v>150.21</v>
      </c>
      <c r="I78" s="12">
        <v>59.18</v>
      </c>
      <c r="J78" s="12">
        <v>0</v>
      </c>
      <c r="K78" s="12">
        <v>0</v>
      </c>
      <c r="L78" s="12">
        <v>0</v>
      </c>
      <c r="M78" s="12">
        <f t="shared" si="3"/>
        <v>4259.87</v>
      </c>
      <c r="N78" s="12">
        <v>552.08000000000004</v>
      </c>
      <c r="O78" s="12">
        <v>852.77</v>
      </c>
      <c r="P78" s="12">
        <v>482.39</v>
      </c>
      <c r="Q78" s="12">
        <f t="shared" si="2"/>
        <v>6147.11</v>
      </c>
    </row>
    <row r="79" spans="1:17" x14ac:dyDescent="0.25">
      <c r="A79" s="5" t="s">
        <v>98</v>
      </c>
      <c r="B79" s="18">
        <v>306</v>
      </c>
      <c r="C79" s="12">
        <v>34182.019999999997</v>
      </c>
      <c r="D79" s="12">
        <v>26301.15</v>
      </c>
      <c r="E79" s="12">
        <v>170744.77</v>
      </c>
      <c r="F79" s="12">
        <v>15682.54</v>
      </c>
      <c r="G79" s="12">
        <v>14000.7</v>
      </c>
      <c r="H79" s="12">
        <v>4201.24</v>
      </c>
      <c r="I79" s="12">
        <v>0</v>
      </c>
      <c r="J79" s="12">
        <v>13441.37</v>
      </c>
      <c r="K79" s="12">
        <v>0</v>
      </c>
      <c r="L79" s="12">
        <v>699.81</v>
      </c>
      <c r="M79" s="12">
        <f t="shared" si="3"/>
        <v>279253.60000000003</v>
      </c>
      <c r="N79" s="12">
        <v>32783.589999999997</v>
      </c>
      <c r="O79" s="12">
        <v>55850.78</v>
      </c>
      <c r="P79" s="12">
        <v>32209.22</v>
      </c>
      <c r="Q79" s="12">
        <f t="shared" si="2"/>
        <v>400097.19000000006</v>
      </c>
    </row>
    <row r="80" spans="1:17" x14ac:dyDescent="0.25">
      <c r="A80" s="5" t="s">
        <v>99</v>
      </c>
      <c r="B80" s="18">
        <v>66</v>
      </c>
      <c r="C80" s="12">
        <v>2878.03</v>
      </c>
      <c r="D80" s="12">
        <v>8395.2999999999993</v>
      </c>
      <c r="E80" s="12">
        <v>10425.5</v>
      </c>
      <c r="F80" s="12">
        <v>1518.6</v>
      </c>
      <c r="G80" s="12">
        <v>1811.96</v>
      </c>
      <c r="H80" s="12">
        <v>1807.34</v>
      </c>
      <c r="I80" s="12">
        <v>306.69</v>
      </c>
      <c r="J80" s="12">
        <v>0</v>
      </c>
      <c r="K80" s="12">
        <v>0</v>
      </c>
      <c r="L80" s="12">
        <v>20.53</v>
      </c>
      <c r="M80" s="12">
        <f t="shared" si="3"/>
        <v>27163.949999999997</v>
      </c>
      <c r="N80" s="12">
        <v>3310.74</v>
      </c>
      <c r="O80" s="12">
        <v>5364.91</v>
      </c>
      <c r="P80" s="12">
        <v>3180.51</v>
      </c>
      <c r="Q80" s="12">
        <f t="shared" si="2"/>
        <v>39020.109999999993</v>
      </c>
    </row>
    <row r="81" spans="1:17" x14ac:dyDescent="0.25">
      <c r="A81" s="5" t="s">
        <v>100</v>
      </c>
      <c r="B81" s="18">
        <v>35</v>
      </c>
      <c r="C81" s="12">
        <v>4050.19</v>
      </c>
      <c r="D81" s="12">
        <v>3310.05</v>
      </c>
      <c r="E81" s="12">
        <v>17860.7</v>
      </c>
      <c r="F81" s="12">
        <v>1693.13</v>
      </c>
      <c r="G81" s="12">
        <v>995.95</v>
      </c>
      <c r="H81" s="12">
        <v>1029.1600000000001</v>
      </c>
      <c r="I81" s="12">
        <v>0</v>
      </c>
      <c r="J81" s="12">
        <v>0</v>
      </c>
      <c r="K81" s="12">
        <v>0</v>
      </c>
      <c r="L81" s="12">
        <v>366.43</v>
      </c>
      <c r="M81" s="12">
        <f t="shared" si="3"/>
        <v>29305.610000000004</v>
      </c>
      <c r="N81" s="12">
        <v>3804.15</v>
      </c>
      <c r="O81" s="12">
        <v>5770.12</v>
      </c>
      <c r="P81" s="12">
        <v>3270.09</v>
      </c>
      <c r="Q81" s="12">
        <f t="shared" si="2"/>
        <v>42149.97</v>
      </c>
    </row>
    <row r="82" spans="1:17" x14ac:dyDescent="0.25">
      <c r="A82" s="5" t="s">
        <v>101</v>
      </c>
      <c r="B82" s="18">
        <v>55</v>
      </c>
      <c r="C82" s="12">
        <v>10609.94</v>
      </c>
      <c r="D82" s="12">
        <v>8609.69</v>
      </c>
      <c r="E82" s="12">
        <v>35917.230000000003</v>
      </c>
      <c r="F82" s="12">
        <v>8348.7999999999993</v>
      </c>
      <c r="G82" s="12">
        <v>6522.56</v>
      </c>
      <c r="H82" s="12">
        <v>1565.37</v>
      </c>
      <c r="I82" s="12">
        <v>434.88</v>
      </c>
      <c r="J82" s="12">
        <v>0</v>
      </c>
      <c r="K82" s="12">
        <v>5880.43</v>
      </c>
      <c r="L82" s="12">
        <v>10544.34</v>
      </c>
      <c r="M82" s="12">
        <f t="shared" si="3"/>
        <v>88433.239999999991</v>
      </c>
      <c r="N82" s="12">
        <v>11647.12</v>
      </c>
      <c r="O82" s="12">
        <v>17796.62</v>
      </c>
      <c r="P82" s="12">
        <v>9393.35</v>
      </c>
      <c r="Q82" s="12">
        <f t="shared" si="2"/>
        <v>127270.32999999999</v>
      </c>
    </row>
    <row r="83" spans="1:17" x14ac:dyDescent="0.25">
      <c r="A83" s="5" t="s">
        <v>102</v>
      </c>
      <c r="B83" s="18">
        <v>38</v>
      </c>
      <c r="C83" s="12">
        <v>1855.03</v>
      </c>
      <c r="D83" s="12">
        <v>1914.21</v>
      </c>
      <c r="E83" s="12">
        <v>9146.59</v>
      </c>
      <c r="F83" s="12">
        <v>1702.98</v>
      </c>
      <c r="G83" s="12">
        <v>532.16999999999996</v>
      </c>
      <c r="H83" s="12">
        <v>729.83</v>
      </c>
      <c r="I83" s="12"/>
      <c r="J83" s="12"/>
      <c r="K83" s="12"/>
      <c r="L83" s="12">
        <v>38.44</v>
      </c>
      <c r="M83" s="12">
        <f t="shared" si="3"/>
        <v>15919.25</v>
      </c>
      <c r="N83" s="12">
        <v>2044.67</v>
      </c>
      <c r="O83" s="12">
        <v>3207.71</v>
      </c>
      <c r="P83" s="12">
        <v>2135.86</v>
      </c>
      <c r="Q83" s="12">
        <f t="shared" si="2"/>
        <v>23307.489999999998</v>
      </c>
    </row>
    <row r="84" spans="1:17" x14ac:dyDescent="0.25">
      <c r="A84" s="5" t="s">
        <v>103</v>
      </c>
      <c r="B84" s="18">
        <v>34</v>
      </c>
      <c r="C84" s="12">
        <v>3103.14</v>
      </c>
      <c r="D84" s="12">
        <v>6530.95</v>
      </c>
      <c r="E84" s="12">
        <v>11929.95</v>
      </c>
      <c r="F84" s="12">
        <v>1704.15</v>
      </c>
      <c r="G84" s="12">
        <v>2034.81</v>
      </c>
      <c r="H84" s="12">
        <v>1017.41</v>
      </c>
      <c r="I84" s="12">
        <v>0</v>
      </c>
      <c r="J84" s="12">
        <v>0</v>
      </c>
      <c r="K84" s="12">
        <v>0</v>
      </c>
      <c r="L84" s="12">
        <v>3332.43</v>
      </c>
      <c r="M84" s="12">
        <f t="shared" si="3"/>
        <v>29652.840000000004</v>
      </c>
      <c r="N84" s="12">
        <v>3756.75</v>
      </c>
      <c r="O84" s="12">
        <v>5767.37</v>
      </c>
      <c r="P84" s="12">
        <v>3376.68</v>
      </c>
      <c r="Q84" s="12">
        <f t="shared" si="2"/>
        <v>42553.640000000007</v>
      </c>
    </row>
    <row r="85" spans="1:17" x14ac:dyDescent="0.25">
      <c r="A85" s="5" t="s">
        <v>104</v>
      </c>
      <c r="B85" s="18">
        <v>99</v>
      </c>
      <c r="C85" s="12">
        <v>7329.07</v>
      </c>
      <c r="D85" s="12">
        <v>13981.09</v>
      </c>
      <c r="E85" s="12">
        <v>28895.88</v>
      </c>
      <c r="F85" s="12">
        <v>5887.31</v>
      </c>
      <c r="G85" s="12">
        <v>1621.97</v>
      </c>
      <c r="H85" s="12">
        <v>2282.85</v>
      </c>
      <c r="I85" s="12">
        <v>480.61</v>
      </c>
      <c r="J85" s="12">
        <v>0</v>
      </c>
      <c r="K85" s="12">
        <v>4534.72</v>
      </c>
      <c r="L85" s="12">
        <v>522.83000000000004</v>
      </c>
      <c r="M85" s="12">
        <f t="shared" ref="M85" si="4">SUM(C85:L85)</f>
        <v>65536.33</v>
      </c>
      <c r="N85" s="12">
        <v>8438.81</v>
      </c>
      <c r="O85" s="12">
        <v>13207.32</v>
      </c>
      <c r="P85" s="12">
        <v>7453.58</v>
      </c>
      <c r="Q85" s="12">
        <f t="shared" ref="Q85" si="5">SUM(M85:P85)</f>
        <v>94636.04</v>
      </c>
    </row>
    <row r="86" spans="1:17" x14ac:dyDescent="0.25">
      <c r="A86" s="5" t="s">
        <v>105</v>
      </c>
      <c r="B86" s="18">
        <v>23</v>
      </c>
      <c r="C86" s="12">
        <v>844.2</v>
      </c>
      <c r="D86" s="12">
        <v>941.74</v>
      </c>
      <c r="E86" s="12">
        <v>2982.42</v>
      </c>
      <c r="F86" s="12">
        <v>603.12</v>
      </c>
      <c r="G86" s="12">
        <v>553.58000000000004</v>
      </c>
      <c r="H86" s="12">
        <v>444.15</v>
      </c>
      <c r="I86" s="12">
        <v>415.19</v>
      </c>
      <c r="J86" s="12">
        <v>602.03</v>
      </c>
      <c r="K86" s="12">
        <v>608.36</v>
      </c>
      <c r="L86" s="12">
        <v>5.56</v>
      </c>
      <c r="M86" s="12">
        <f t="shared" si="3"/>
        <v>8000.3499999999995</v>
      </c>
      <c r="N86" s="12">
        <v>1032.8399999999999</v>
      </c>
      <c r="O86" s="12">
        <v>1618.5</v>
      </c>
      <c r="P86" s="12">
        <v>1131.25</v>
      </c>
      <c r="Q86" s="12">
        <f t="shared" si="2"/>
        <v>11782.939999999999</v>
      </c>
    </row>
    <row r="87" spans="1:17" x14ac:dyDescent="0.25">
      <c r="A87" s="5" t="s">
        <v>106</v>
      </c>
      <c r="B87" s="18">
        <v>117</v>
      </c>
      <c r="C87" s="12">
        <v>20543.349999999999</v>
      </c>
      <c r="D87" s="12">
        <v>16596.09</v>
      </c>
      <c r="E87" s="12">
        <v>93903.95</v>
      </c>
      <c r="F87" s="12">
        <v>14313.04</v>
      </c>
      <c r="G87" s="12">
        <v>6735.52</v>
      </c>
      <c r="H87" s="12">
        <v>6398.79</v>
      </c>
      <c r="I87" s="12">
        <v>1178.68</v>
      </c>
      <c r="J87" s="12">
        <v>0</v>
      </c>
      <c r="K87" s="12">
        <v>8499.56</v>
      </c>
      <c r="L87" s="12">
        <v>0</v>
      </c>
      <c r="M87" s="12">
        <f t="shared" si="3"/>
        <v>168168.97999999998</v>
      </c>
      <c r="N87" s="12">
        <v>20739.3</v>
      </c>
      <c r="O87" s="12">
        <v>33680.559999999998</v>
      </c>
      <c r="P87" s="12">
        <v>18478.34</v>
      </c>
      <c r="Q87" s="12">
        <f t="shared" si="2"/>
        <v>241067.17999999996</v>
      </c>
    </row>
    <row r="88" spans="1:17" x14ac:dyDescent="0.25">
      <c r="A88" s="5" t="s">
        <v>107</v>
      </c>
      <c r="B88" s="18">
        <v>62</v>
      </c>
      <c r="C88" s="12">
        <v>4146.74</v>
      </c>
      <c r="D88" s="12">
        <v>4845.09</v>
      </c>
      <c r="E88" s="12">
        <v>16960.77</v>
      </c>
      <c r="F88" s="12">
        <v>2583.21</v>
      </c>
      <c r="G88" s="12">
        <v>0</v>
      </c>
      <c r="H88" s="12">
        <v>2651.19</v>
      </c>
      <c r="I88" s="12">
        <v>509.83</v>
      </c>
      <c r="J88" s="12">
        <v>1971.39</v>
      </c>
      <c r="K88" s="12">
        <v>0</v>
      </c>
      <c r="L88" s="12">
        <v>11.72</v>
      </c>
      <c r="M88" s="12">
        <f t="shared" si="3"/>
        <v>33679.94</v>
      </c>
      <c r="N88" s="12">
        <v>4236.51</v>
      </c>
      <c r="O88" s="12">
        <v>6413.6</v>
      </c>
      <c r="P88" s="12">
        <v>4105.82</v>
      </c>
      <c r="Q88" s="12">
        <f t="shared" si="2"/>
        <v>48435.87</v>
      </c>
    </row>
    <row r="89" spans="1:17" x14ac:dyDescent="0.25">
      <c r="A89" s="5" t="s">
        <v>108</v>
      </c>
      <c r="B89" s="18">
        <v>19</v>
      </c>
      <c r="C89" s="12">
        <v>841.29</v>
      </c>
      <c r="D89" s="12">
        <v>777.84</v>
      </c>
      <c r="E89" s="12">
        <v>3309.96</v>
      </c>
      <c r="F89" s="12">
        <v>406.84</v>
      </c>
      <c r="G89" s="12">
        <v>275.83999999999997</v>
      </c>
      <c r="H89" s="12">
        <v>344.8</v>
      </c>
      <c r="I89" s="12">
        <v>124.14</v>
      </c>
      <c r="J89" s="12">
        <v>466.08</v>
      </c>
      <c r="K89" s="12"/>
      <c r="L89" s="12">
        <v>4.28</v>
      </c>
      <c r="M89" s="12">
        <f t="shared" si="3"/>
        <v>6551.0700000000006</v>
      </c>
      <c r="N89" s="12">
        <v>835.68</v>
      </c>
      <c r="O89" s="12">
        <v>1314.05</v>
      </c>
      <c r="P89" s="12">
        <v>923</v>
      </c>
      <c r="Q89" s="12">
        <f t="shared" si="2"/>
        <v>9623.8000000000011</v>
      </c>
    </row>
    <row r="90" spans="1:17" x14ac:dyDescent="0.25">
      <c r="A90" s="5" t="s">
        <v>109</v>
      </c>
      <c r="B90" s="18">
        <v>70</v>
      </c>
      <c r="C90" s="12">
        <v>6630.06</v>
      </c>
      <c r="D90" s="12">
        <v>4317.17</v>
      </c>
      <c r="E90" s="12">
        <v>26846.29</v>
      </c>
      <c r="F90" s="12">
        <v>3260.68</v>
      </c>
      <c r="G90" s="12">
        <v>2717.23</v>
      </c>
      <c r="H90" s="12">
        <v>2554.19</v>
      </c>
      <c r="I90" s="12">
        <v>0</v>
      </c>
      <c r="J90" s="12">
        <v>3586.75</v>
      </c>
      <c r="K90" s="12">
        <v>3803.69</v>
      </c>
      <c r="L90" s="12">
        <v>4.18</v>
      </c>
      <c r="M90" s="12">
        <f t="shared" si="3"/>
        <v>53720.240000000013</v>
      </c>
      <c r="N90" s="12">
        <v>6754.18</v>
      </c>
      <c r="O90" s="12">
        <v>10814.04</v>
      </c>
      <c r="P90" s="12">
        <v>6387.02</v>
      </c>
      <c r="Q90" s="12">
        <f t="shared" si="2"/>
        <v>77675.480000000025</v>
      </c>
    </row>
    <row r="91" spans="1:17" x14ac:dyDescent="0.25">
      <c r="A91" s="5" t="s">
        <v>110</v>
      </c>
      <c r="B91" s="18">
        <v>30</v>
      </c>
      <c r="C91" s="12">
        <v>1945</v>
      </c>
      <c r="D91" s="12">
        <v>956.55</v>
      </c>
      <c r="E91" s="12">
        <v>8401.75</v>
      </c>
      <c r="F91" s="12">
        <v>1402.95</v>
      </c>
      <c r="G91" s="12">
        <v>1594.26</v>
      </c>
      <c r="H91" s="12">
        <v>1855.31</v>
      </c>
      <c r="I91" s="12">
        <v>286.97000000000003</v>
      </c>
      <c r="J91" s="12">
        <v>1291.3699999999999</v>
      </c>
      <c r="K91" s="12">
        <v>20.43</v>
      </c>
      <c r="L91" s="12"/>
      <c r="M91" s="12">
        <f t="shared" si="3"/>
        <v>17754.59</v>
      </c>
      <c r="N91" s="12">
        <v>2373.37</v>
      </c>
      <c r="O91" s="12">
        <v>3612.93</v>
      </c>
      <c r="P91" s="12">
        <v>2066.46</v>
      </c>
      <c r="Q91" s="12">
        <f t="shared" si="2"/>
        <v>25807.35</v>
      </c>
    </row>
    <row r="92" spans="1:17" x14ac:dyDescent="0.25">
      <c r="A92" s="5" t="s">
        <v>111</v>
      </c>
      <c r="B92" s="18">
        <v>63</v>
      </c>
      <c r="C92" s="12">
        <v>3589.8</v>
      </c>
      <c r="D92" s="12">
        <v>3190.31</v>
      </c>
      <c r="E92" s="12">
        <v>14624.04</v>
      </c>
      <c r="F92" s="12">
        <v>2442.2399999999998</v>
      </c>
      <c r="G92" s="12">
        <v>647.34</v>
      </c>
      <c r="H92" s="12">
        <v>559.04999999999995</v>
      </c>
      <c r="I92" s="12">
        <v>153.06</v>
      </c>
      <c r="J92" s="12">
        <v>0</v>
      </c>
      <c r="K92" s="12">
        <v>0</v>
      </c>
      <c r="L92" s="12">
        <v>446.43</v>
      </c>
      <c r="M92" s="12">
        <f t="shared" si="3"/>
        <v>25652.27</v>
      </c>
      <c r="N92" s="12">
        <v>3226.17</v>
      </c>
      <c r="O92" s="12">
        <v>5155.66</v>
      </c>
      <c r="P92" s="12">
        <v>3491.33</v>
      </c>
      <c r="Q92" s="12">
        <f t="shared" si="2"/>
        <v>37525.430000000008</v>
      </c>
    </row>
    <row r="93" spans="1:17" x14ac:dyDescent="0.25">
      <c r="A93" s="5" t="s">
        <v>112</v>
      </c>
      <c r="B93" s="18">
        <v>109</v>
      </c>
      <c r="C93" s="12">
        <v>10433.719999999999</v>
      </c>
      <c r="D93" s="12">
        <v>13864.79</v>
      </c>
      <c r="E93" s="12">
        <v>31929.23</v>
      </c>
      <c r="F93" s="12">
        <v>6927.42</v>
      </c>
      <c r="G93" s="12">
        <v>0</v>
      </c>
      <c r="H93" s="12">
        <v>855.26</v>
      </c>
      <c r="I93" s="12">
        <v>427.84</v>
      </c>
      <c r="J93" s="12">
        <v>0</v>
      </c>
      <c r="K93" s="12">
        <v>3452.61</v>
      </c>
      <c r="L93" s="12">
        <v>0</v>
      </c>
      <c r="M93" s="12">
        <f t="shared" si="3"/>
        <v>67890.87</v>
      </c>
      <c r="N93" s="12">
        <v>8210.5300000000007</v>
      </c>
      <c r="O93" s="12">
        <v>13469.12</v>
      </c>
      <c r="P93" s="12">
        <v>11312.64</v>
      </c>
      <c r="Q93" s="12">
        <f t="shared" si="2"/>
        <v>100883.15999999999</v>
      </c>
    </row>
    <row r="94" spans="1:17" x14ac:dyDescent="0.25">
      <c r="A94" s="5" t="s">
        <v>113</v>
      </c>
      <c r="B94" s="18">
        <v>19</v>
      </c>
      <c r="C94" s="12">
        <v>1416.76</v>
      </c>
      <c r="D94" s="12">
        <v>1681.73</v>
      </c>
      <c r="E94" s="12">
        <v>4494.18</v>
      </c>
      <c r="F94" s="12">
        <v>731.61</v>
      </c>
      <c r="G94" s="12">
        <v>580.64</v>
      </c>
      <c r="H94" s="12">
        <v>0</v>
      </c>
      <c r="I94" s="12">
        <v>0</v>
      </c>
      <c r="J94" s="12">
        <v>0</v>
      </c>
      <c r="K94" s="12">
        <v>556.13</v>
      </c>
      <c r="L94" s="12">
        <v>0</v>
      </c>
      <c r="M94" s="12">
        <f t="shared" si="3"/>
        <v>9461.0499999999993</v>
      </c>
      <c r="N94" s="12">
        <v>1245.8499999999999</v>
      </c>
      <c r="O94" s="12">
        <v>1869.43</v>
      </c>
      <c r="P94" s="12">
        <v>1219.69</v>
      </c>
      <c r="Q94" s="12">
        <f t="shared" si="2"/>
        <v>13796.02</v>
      </c>
    </row>
    <row r="95" spans="1:17" x14ac:dyDescent="0.25">
      <c r="A95" s="5" t="s">
        <v>114</v>
      </c>
      <c r="B95" s="18">
        <v>64</v>
      </c>
      <c r="C95" s="12">
        <v>3763.07</v>
      </c>
      <c r="D95" s="12">
        <v>2386.61</v>
      </c>
      <c r="E95" s="12">
        <v>14713</v>
      </c>
      <c r="F95" s="12">
        <v>2097.4499999999998</v>
      </c>
      <c r="G95" s="12">
        <v>1079.5999999999999</v>
      </c>
      <c r="H95" s="12">
        <v>678.6</v>
      </c>
      <c r="I95" s="12">
        <v>215.92</v>
      </c>
      <c r="J95" s="12">
        <v>0</v>
      </c>
      <c r="K95" s="12">
        <v>0</v>
      </c>
      <c r="L95" s="12">
        <v>46.15</v>
      </c>
      <c r="M95" s="12">
        <f t="shared" si="3"/>
        <v>24980.399999999998</v>
      </c>
      <c r="N95" s="12">
        <v>3047.56</v>
      </c>
      <c r="O95" s="12">
        <v>5060.34</v>
      </c>
      <c r="P95" s="12">
        <v>3426.03</v>
      </c>
      <c r="Q95" s="12">
        <f t="shared" si="2"/>
        <v>36514.33</v>
      </c>
    </row>
    <row r="96" spans="1:17" x14ac:dyDescent="0.25">
      <c r="A96" s="5" t="s">
        <v>115</v>
      </c>
      <c r="B96" s="18">
        <v>107</v>
      </c>
      <c r="C96" s="12">
        <v>19999.41</v>
      </c>
      <c r="D96" s="12">
        <v>17535.66</v>
      </c>
      <c r="E96" s="12">
        <v>84259.75</v>
      </c>
      <c r="F96" s="12">
        <v>5737.52</v>
      </c>
      <c r="G96" s="12">
        <v>3278.59</v>
      </c>
      <c r="H96" s="12">
        <v>0</v>
      </c>
      <c r="I96" s="12">
        <v>0</v>
      </c>
      <c r="J96" s="12">
        <v>7770.32</v>
      </c>
      <c r="K96" s="12">
        <v>15907.34</v>
      </c>
      <c r="L96" s="12">
        <v>36208.15</v>
      </c>
      <c r="M96" s="12">
        <f t="shared" si="3"/>
        <v>190696.74</v>
      </c>
      <c r="N96" s="12">
        <v>21947.48</v>
      </c>
      <c r="O96" s="12">
        <v>37796.93</v>
      </c>
      <c r="P96" s="12">
        <v>20396.509999999998</v>
      </c>
      <c r="Q96" s="12">
        <f t="shared" si="2"/>
        <v>270837.65999999997</v>
      </c>
    </row>
    <row r="97" spans="1:17" x14ac:dyDescent="0.25">
      <c r="A97" s="5" t="s">
        <v>156</v>
      </c>
      <c r="B97" s="18">
        <v>41</v>
      </c>
      <c r="C97" s="12">
        <v>2328.1999999999998</v>
      </c>
      <c r="D97" s="12">
        <v>2943.2</v>
      </c>
      <c r="E97" s="12">
        <v>11564.77</v>
      </c>
      <c r="F97" s="12">
        <v>2366.38</v>
      </c>
      <c r="G97" s="12">
        <v>1068.69</v>
      </c>
      <c r="H97" s="12">
        <v>782.47</v>
      </c>
      <c r="I97" s="12">
        <v>305.33</v>
      </c>
      <c r="J97" s="12">
        <v>0</v>
      </c>
      <c r="K97" s="12">
        <v>1404.62</v>
      </c>
      <c r="L97" s="12">
        <v>0</v>
      </c>
      <c r="M97" s="12">
        <f t="shared" si="3"/>
        <v>22763.66</v>
      </c>
      <c r="N97" s="12">
        <v>2901.91</v>
      </c>
      <c r="O97" s="12">
        <v>4511.7299999999996</v>
      </c>
      <c r="P97" s="12">
        <v>2829.87</v>
      </c>
      <c r="Q97" s="12">
        <f t="shared" si="2"/>
        <v>33007.17</v>
      </c>
    </row>
    <row r="98" spans="1:17" x14ac:dyDescent="0.25">
      <c r="A98" s="5" t="s">
        <v>116</v>
      </c>
      <c r="B98" s="18">
        <v>4</v>
      </c>
      <c r="C98" s="12">
        <v>37.89</v>
      </c>
      <c r="D98" s="12">
        <v>95.45</v>
      </c>
      <c r="E98" s="12">
        <v>139.66</v>
      </c>
      <c r="F98" s="12">
        <v>50.15</v>
      </c>
      <c r="G98" s="12">
        <v>15.52</v>
      </c>
      <c r="H98" s="12">
        <v>47.93</v>
      </c>
      <c r="I98" s="12">
        <v>18.55</v>
      </c>
      <c r="J98" s="12"/>
      <c r="K98" s="12"/>
      <c r="L98" s="12">
        <v>2.17</v>
      </c>
      <c r="M98" s="12">
        <f t="shared" si="3"/>
        <v>407.32</v>
      </c>
      <c r="N98" s="12">
        <v>43.88</v>
      </c>
      <c r="O98" s="12">
        <v>86.8</v>
      </c>
      <c r="P98" s="12">
        <v>95.74</v>
      </c>
      <c r="Q98" s="12">
        <f t="shared" si="2"/>
        <v>633.74</v>
      </c>
    </row>
    <row r="99" spans="1:17" x14ac:dyDescent="0.25">
      <c r="A99" s="5" t="s">
        <v>117</v>
      </c>
      <c r="B99" s="18">
        <v>55</v>
      </c>
      <c r="C99" s="12">
        <v>4214.9799999999996</v>
      </c>
      <c r="D99" s="12">
        <v>5471.35</v>
      </c>
      <c r="E99" s="12">
        <v>21059.45</v>
      </c>
      <c r="F99" s="12">
        <v>3514.78</v>
      </c>
      <c r="G99" s="12">
        <v>1995.84</v>
      </c>
      <c r="H99" s="12">
        <v>2171.41</v>
      </c>
      <c r="I99" s="12">
        <v>446.68</v>
      </c>
      <c r="J99" s="12">
        <v>2953.73</v>
      </c>
      <c r="K99" s="12">
        <v>749.9</v>
      </c>
      <c r="L99" s="12">
        <v>894.69</v>
      </c>
      <c r="M99" s="12">
        <f t="shared" si="3"/>
        <v>43472.810000000005</v>
      </c>
      <c r="N99" s="12">
        <v>5642.82</v>
      </c>
      <c r="O99" s="12">
        <v>8694.58</v>
      </c>
      <c r="P99" s="12">
        <v>4897.3100000000004</v>
      </c>
      <c r="Q99" s="12">
        <f t="shared" si="2"/>
        <v>62707.520000000004</v>
      </c>
    </row>
    <row r="100" spans="1:17" x14ac:dyDescent="0.25">
      <c r="A100" s="5" t="s">
        <v>118</v>
      </c>
      <c r="B100" s="18">
        <v>97</v>
      </c>
      <c r="C100" s="12">
        <v>10408.58</v>
      </c>
      <c r="D100" s="12">
        <v>8875.2099999999991</v>
      </c>
      <c r="E100" s="12">
        <v>43355.5</v>
      </c>
      <c r="F100" s="12">
        <v>12200.14</v>
      </c>
      <c r="G100" s="12">
        <v>2985.92</v>
      </c>
      <c r="H100" s="12">
        <v>1706.49</v>
      </c>
      <c r="I100" s="12">
        <v>767.84</v>
      </c>
      <c r="J100" s="12">
        <v>916.57</v>
      </c>
      <c r="K100" s="12">
        <v>0</v>
      </c>
      <c r="L100" s="12">
        <v>0</v>
      </c>
      <c r="M100" s="12">
        <f t="shared" si="3"/>
        <v>81216.25</v>
      </c>
      <c r="N100" s="12">
        <v>10570.37</v>
      </c>
      <c r="O100" s="12">
        <v>16394.75</v>
      </c>
      <c r="P100" s="12">
        <v>9508.1</v>
      </c>
      <c r="Q100" s="12">
        <f t="shared" ref="Q100:Q123" si="6">SUM(M100:P100)</f>
        <v>117689.47</v>
      </c>
    </row>
    <row r="101" spans="1:17" x14ac:dyDescent="0.25">
      <c r="A101" s="5" t="s">
        <v>119</v>
      </c>
      <c r="B101" s="18">
        <v>263</v>
      </c>
      <c r="C101" s="12">
        <v>16569.939999999999</v>
      </c>
      <c r="D101" s="12">
        <v>23494.240000000002</v>
      </c>
      <c r="E101" s="12">
        <v>64278.21</v>
      </c>
      <c r="F101" s="12">
        <v>12223.76</v>
      </c>
      <c r="G101" s="12">
        <v>8149.16</v>
      </c>
      <c r="H101" s="12">
        <v>3124</v>
      </c>
      <c r="I101" s="12">
        <v>543.25</v>
      </c>
      <c r="J101" s="12"/>
      <c r="K101" s="12">
        <v>77.11</v>
      </c>
      <c r="L101" s="12">
        <v>2997.86</v>
      </c>
      <c r="M101" s="12">
        <f t="shared" si="3"/>
        <v>131457.53</v>
      </c>
      <c r="N101" s="12">
        <v>15913.55</v>
      </c>
      <c r="O101" s="12">
        <v>25469.3</v>
      </c>
      <c r="P101" s="12">
        <v>14777.8</v>
      </c>
      <c r="Q101" s="12">
        <f t="shared" si="6"/>
        <v>187618.17999999996</v>
      </c>
    </row>
    <row r="102" spans="1:17" x14ac:dyDescent="0.25">
      <c r="A102" s="5" t="s">
        <v>120</v>
      </c>
      <c r="B102" s="18">
        <v>43</v>
      </c>
      <c r="C102" s="12">
        <v>2853.96</v>
      </c>
      <c r="D102" s="12">
        <v>2362.7399999999998</v>
      </c>
      <c r="E102" s="12">
        <v>8842.6</v>
      </c>
      <c r="F102" s="12">
        <v>1146.31</v>
      </c>
      <c r="G102" s="12">
        <v>1169.67</v>
      </c>
      <c r="H102" s="12">
        <v>725.24</v>
      </c>
      <c r="I102" s="12"/>
      <c r="J102" s="12"/>
      <c r="K102" s="12">
        <v>8.85</v>
      </c>
      <c r="L102" s="12"/>
      <c r="M102" s="12">
        <f t="shared" si="3"/>
        <v>17109.37</v>
      </c>
      <c r="N102" s="12">
        <v>2261.14</v>
      </c>
      <c r="O102" s="12">
        <v>3421.87</v>
      </c>
      <c r="P102" s="12">
        <v>2140.9299999999998</v>
      </c>
      <c r="Q102" s="12">
        <f t="shared" si="6"/>
        <v>24933.309999999998</v>
      </c>
    </row>
    <row r="103" spans="1:17" x14ac:dyDescent="0.25">
      <c r="A103" s="5" t="s">
        <v>121</v>
      </c>
      <c r="B103" s="18">
        <v>234</v>
      </c>
      <c r="C103" s="12">
        <v>21222.07</v>
      </c>
      <c r="D103" s="12">
        <v>8871.61</v>
      </c>
      <c r="E103" s="12">
        <v>67839.820000000007</v>
      </c>
      <c r="F103" s="12">
        <v>11138.52</v>
      </c>
      <c r="G103" s="12">
        <v>5218.5600000000004</v>
      </c>
      <c r="H103" s="12">
        <v>2435.34</v>
      </c>
      <c r="I103" s="12">
        <v>0</v>
      </c>
      <c r="J103" s="12">
        <v>0</v>
      </c>
      <c r="K103" s="12">
        <v>0</v>
      </c>
      <c r="L103" s="12">
        <v>0</v>
      </c>
      <c r="M103" s="12">
        <f t="shared" si="3"/>
        <v>116725.92</v>
      </c>
      <c r="N103" s="12">
        <v>14778.51</v>
      </c>
      <c r="O103" s="12">
        <v>23813.45</v>
      </c>
      <c r="P103" s="12">
        <v>18692.68</v>
      </c>
      <c r="Q103" s="12">
        <f t="shared" si="6"/>
        <v>174010.56</v>
      </c>
    </row>
    <row r="104" spans="1:17" x14ac:dyDescent="0.25">
      <c r="A104" s="5" t="s">
        <v>122</v>
      </c>
      <c r="B104" s="18">
        <v>4</v>
      </c>
      <c r="C104" s="12">
        <v>281.64999999999998</v>
      </c>
      <c r="D104" s="12">
        <v>342.44</v>
      </c>
      <c r="E104" s="12">
        <v>1348.2</v>
      </c>
      <c r="F104" s="12">
        <v>332.43</v>
      </c>
      <c r="G104" s="12">
        <v>92.35</v>
      </c>
      <c r="H104" s="12">
        <v>316.26</v>
      </c>
      <c r="I104" s="12">
        <v>30.02</v>
      </c>
      <c r="J104" s="12">
        <v>0</v>
      </c>
      <c r="K104" s="12">
        <v>0</v>
      </c>
      <c r="L104" s="12">
        <v>0</v>
      </c>
      <c r="M104" s="12">
        <f t="shared" si="3"/>
        <v>2743.35</v>
      </c>
      <c r="N104" s="12">
        <v>361.24</v>
      </c>
      <c r="O104" s="12">
        <v>540.67999999999995</v>
      </c>
      <c r="P104" s="12">
        <v>330.34</v>
      </c>
      <c r="Q104" s="12">
        <f t="shared" si="6"/>
        <v>3975.61</v>
      </c>
    </row>
    <row r="105" spans="1:17" x14ac:dyDescent="0.25">
      <c r="A105" s="5" t="s">
        <v>123</v>
      </c>
      <c r="B105" s="18">
        <v>74</v>
      </c>
      <c r="C105" s="12">
        <v>4377.38</v>
      </c>
      <c r="D105" s="12">
        <v>3242.67</v>
      </c>
      <c r="E105" s="12">
        <v>14495.55</v>
      </c>
      <c r="F105" s="12">
        <v>2296.34</v>
      </c>
      <c r="G105" s="12">
        <v>1492.63</v>
      </c>
      <c r="H105" s="12">
        <v>1291.67</v>
      </c>
      <c r="I105" s="12">
        <v>322.94</v>
      </c>
      <c r="J105" s="12"/>
      <c r="K105" s="12">
        <v>18.87</v>
      </c>
      <c r="L105" s="12"/>
      <c r="M105" s="12">
        <f t="shared" si="3"/>
        <v>27538.049999999996</v>
      </c>
      <c r="N105" s="12">
        <v>3618.08</v>
      </c>
      <c r="O105" s="12">
        <v>5566.88</v>
      </c>
      <c r="P105" s="12">
        <v>3849.43</v>
      </c>
      <c r="Q105" s="12">
        <f t="shared" si="6"/>
        <v>40572.439999999995</v>
      </c>
    </row>
    <row r="106" spans="1:17" x14ac:dyDescent="0.25">
      <c r="A106" s="5" t="s">
        <v>124</v>
      </c>
      <c r="B106" s="18">
        <v>84</v>
      </c>
      <c r="C106" s="12">
        <v>8595.2999999999993</v>
      </c>
      <c r="D106" s="12">
        <v>5210.82</v>
      </c>
      <c r="E106" s="12">
        <v>38890.29</v>
      </c>
      <c r="F106" s="12">
        <v>6763.55</v>
      </c>
      <c r="G106" s="12">
        <v>3170.37</v>
      </c>
      <c r="H106" s="12">
        <v>0</v>
      </c>
      <c r="I106" s="12">
        <v>0</v>
      </c>
      <c r="J106" s="12">
        <v>0</v>
      </c>
      <c r="K106" s="12">
        <v>0</v>
      </c>
      <c r="L106" s="12">
        <v>6.26</v>
      </c>
      <c r="M106" s="12">
        <f t="shared" si="3"/>
        <v>62636.590000000011</v>
      </c>
      <c r="N106" s="12">
        <v>8295.43</v>
      </c>
      <c r="O106" s="12">
        <v>12611.33</v>
      </c>
      <c r="P106" s="12">
        <v>7481.67</v>
      </c>
      <c r="Q106" s="12">
        <f t="shared" si="6"/>
        <v>91025.020000000019</v>
      </c>
    </row>
    <row r="107" spans="1:17" x14ac:dyDescent="0.25">
      <c r="A107" s="5" t="s">
        <v>125</v>
      </c>
      <c r="B107" s="18">
        <v>144</v>
      </c>
      <c r="C107" s="12">
        <v>4927.91</v>
      </c>
      <c r="D107" s="12">
        <v>3318.31</v>
      </c>
      <c r="E107" s="12">
        <v>20357.810000000001</v>
      </c>
      <c r="F107" s="12">
        <v>2221.6999999999998</v>
      </c>
      <c r="G107" s="12">
        <v>1817.76</v>
      </c>
      <c r="H107" s="12">
        <v>1215.8499999999999</v>
      </c>
      <c r="I107" s="12">
        <v>363.56</v>
      </c>
      <c r="J107" s="12">
        <v>2261.94</v>
      </c>
      <c r="K107" s="12">
        <v>0</v>
      </c>
      <c r="L107" s="12">
        <v>2665.87</v>
      </c>
      <c r="M107" s="12">
        <f t="shared" si="3"/>
        <v>39150.71</v>
      </c>
      <c r="N107" s="12">
        <v>5198.53</v>
      </c>
      <c r="O107" s="12">
        <v>7844.52</v>
      </c>
      <c r="P107" s="12">
        <v>4534.3100000000004</v>
      </c>
      <c r="Q107" s="12">
        <f t="shared" si="6"/>
        <v>56728.069999999992</v>
      </c>
    </row>
    <row r="108" spans="1:17" x14ac:dyDescent="0.25">
      <c r="A108" s="5" t="s">
        <v>126</v>
      </c>
      <c r="B108" s="18">
        <v>204</v>
      </c>
      <c r="C108" s="12">
        <v>26701.33</v>
      </c>
      <c r="D108" s="12">
        <v>17064.07</v>
      </c>
      <c r="E108" s="12">
        <v>103303.28</v>
      </c>
      <c r="F108" s="12">
        <v>13131.77</v>
      </c>
      <c r="G108" s="12">
        <v>4814.8599999999997</v>
      </c>
      <c r="H108" s="12">
        <v>3939.62</v>
      </c>
      <c r="I108" s="12">
        <v>0</v>
      </c>
      <c r="J108" s="12">
        <v>0</v>
      </c>
      <c r="K108" s="12">
        <v>0</v>
      </c>
      <c r="L108" s="12">
        <v>0</v>
      </c>
      <c r="M108" s="12">
        <f t="shared" si="3"/>
        <v>168954.92999999996</v>
      </c>
      <c r="N108" s="12">
        <v>17060.310000000001</v>
      </c>
      <c r="O108" s="12">
        <v>27004.31</v>
      </c>
      <c r="P108" s="12">
        <v>15912.16</v>
      </c>
      <c r="Q108" s="12">
        <f t="shared" si="6"/>
        <v>228931.70999999996</v>
      </c>
    </row>
    <row r="109" spans="1:17" x14ac:dyDescent="0.25">
      <c r="A109" s="5" t="s">
        <v>127</v>
      </c>
      <c r="B109" s="18">
        <v>126</v>
      </c>
      <c r="C109" s="12">
        <v>13646.74</v>
      </c>
      <c r="D109" s="12">
        <v>13564.47</v>
      </c>
      <c r="E109" s="12">
        <v>79978.95</v>
      </c>
      <c r="F109" s="12">
        <v>3915.05</v>
      </c>
      <c r="G109" s="12">
        <v>4194.7299999999996</v>
      </c>
      <c r="H109" s="12">
        <v>2315.5</v>
      </c>
      <c r="I109" s="12">
        <v>1118.57</v>
      </c>
      <c r="J109" s="12">
        <v>0</v>
      </c>
      <c r="K109" s="12">
        <v>6901.2</v>
      </c>
      <c r="L109" s="12">
        <v>3915.05</v>
      </c>
      <c r="M109" s="12">
        <f t="shared" si="3"/>
        <v>129550.26000000001</v>
      </c>
      <c r="N109" s="12">
        <v>15174.84</v>
      </c>
      <c r="O109" s="12">
        <v>26095.31</v>
      </c>
      <c r="P109" s="12">
        <v>14718.43</v>
      </c>
      <c r="Q109" s="12">
        <f t="shared" si="6"/>
        <v>185538.84</v>
      </c>
    </row>
    <row r="110" spans="1:17" x14ac:dyDescent="0.25">
      <c r="A110" s="5" t="s">
        <v>128</v>
      </c>
      <c r="B110" s="18">
        <v>39</v>
      </c>
      <c r="C110" s="12">
        <v>4579.6499999999996</v>
      </c>
      <c r="D110" s="12">
        <v>4396.87</v>
      </c>
      <c r="E110" s="12">
        <v>17837.900000000001</v>
      </c>
      <c r="F110" s="12">
        <v>2136.5500000000002</v>
      </c>
      <c r="G110" s="12">
        <v>0</v>
      </c>
      <c r="H110" s="12">
        <v>749.49</v>
      </c>
      <c r="I110" s="12">
        <v>0</v>
      </c>
      <c r="J110" s="12">
        <v>1461.49</v>
      </c>
      <c r="K110" s="12">
        <v>0</v>
      </c>
      <c r="L110" s="12">
        <v>0</v>
      </c>
      <c r="M110" s="12">
        <f>SUM(C110:L110)</f>
        <v>31161.950000000004</v>
      </c>
      <c r="N110" s="12">
        <v>3900.04</v>
      </c>
      <c r="O110" s="12">
        <v>6178.47</v>
      </c>
      <c r="P110" s="12">
        <v>3635.2</v>
      </c>
      <c r="Q110" s="12">
        <f t="shared" si="6"/>
        <v>44875.66</v>
      </c>
    </row>
    <row r="111" spans="1:17" x14ac:dyDescent="0.25">
      <c r="A111" s="5" t="s">
        <v>129</v>
      </c>
      <c r="B111" s="18">
        <v>57</v>
      </c>
      <c r="C111" s="12">
        <v>6447.91</v>
      </c>
      <c r="D111" s="12">
        <v>4821.9399999999996</v>
      </c>
      <c r="E111" s="12">
        <v>32503.8</v>
      </c>
      <c r="F111" s="12">
        <v>2325.52</v>
      </c>
      <c r="G111" s="12">
        <v>2114.0700000000002</v>
      </c>
      <c r="H111" s="12">
        <v>1812.83</v>
      </c>
      <c r="I111" s="12">
        <v>459.81</v>
      </c>
      <c r="J111" s="12">
        <v>0</v>
      </c>
      <c r="K111" s="12">
        <v>2503.63</v>
      </c>
      <c r="L111" s="12">
        <v>12.44</v>
      </c>
      <c r="M111" s="12">
        <f t="shared" si="3"/>
        <v>53001.94999999999</v>
      </c>
      <c r="N111" s="12">
        <v>6735.44</v>
      </c>
      <c r="O111" s="12">
        <v>10566.2</v>
      </c>
      <c r="P111" s="12">
        <v>6138.07</v>
      </c>
      <c r="Q111" s="12">
        <f t="shared" si="6"/>
        <v>76441.66</v>
      </c>
    </row>
    <row r="112" spans="1:17" x14ac:dyDescent="0.25">
      <c r="A112" s="5" t="s">
        <v>130</v>
      </c>
      <c r="B112" s="18">
        <v>32</v>
      </c>
      <c r="C112" s="12">
        <v>2794.47</v>
      </c>
      <c r="D112" s="12">
        <v>1809.25</v>
      </c>
      <c r="E112" s="12">
        <v>4894.8100000000004</v>
      </c>
      <c r="F112" s="12">
        <v>847.53</v>
      </c>
      <c r="G112" s="12">
        <v>916.22</v>
      </c>
      <c r="H112" s="12">
        <v>0</v>
      </c>
      <c r="I112" s="12">
        <v>0</v>
      </c>
      <c r="J112" s="12">
        <v>0</v>
      </c>
      <c r="K112" s="12">
        <v>0</v>
      </c>
      <c r="L112" s="12">
        <v>1832.43</v>
      </c>
      <c r="M112" s="12">
        <f t="shared" si="3"/>
        <v>13094.71</v>
      </c>
      <c r="N112" s="12">
        <v>2259.4699999999998</v>
      </c>
      <c r="O112" s="12">
        <v>3372.33</v>
      </c>
      <c r="P112" s="12">
        <v>2006.2</v>
      </c>
      <c r="Q112" s="12">
        <f t="shared" si="6"/>
        <v>20732.71</v>
      </c>
    </row>
    <row r="113" spans="1:19" x14ac:dyDescent="0.25">
      <c r="A113" s="5" t="s">
        <v>131</v>
      </c>
      <c r="B113" s="18">
        <v>41</v>
      </c>
      <c r="C113" s="12">
        <v>2766.77</v>
      </c>
      <c r="D113" s="12">
        <v>2491.17</v>
      </c>
      <c r="E113" s="12">
        <v>8776.58</v>
      </c>
      <c r="F113" s="12">
        <v>1020.52</v>
      </c>
      <c r="G113" s="12">
        <v>975.2</v>
      </c>
      <c r="H113" s="12">
        <v>793.77</v>
      </c>
      <c r="I113" s="12">
        <v>226.78</v>
      </c>
      <c r="J113" s="12">
        <v>0</v>
      </c>
      <c r="K113" s="12">
        <v>0</v>
      </c>
      <c r="L113" s="12">
        <v>154.62</v>
      </c>
      <c r="M113" s="12">
        <f t="shared" si="3"/>
        <v>17205.41</v>
      </c>
      <c r="N113" s="12">
        <v>2206.7399999999998</v>
      </c>
      <c r="O113" s="12">
        <v>3473.9</v>
      </c>
      <c r="P113" s="12">
        <v>2310.9299999999998</v>
      </c>
      <c r="Q113" s="12">
        <f t="shared" si="6"/>
        <v>25196.980000000003</v>
      </c>
    </row>
    <row r="114" spans="1:19" x14ac:dyDescent="0.25">
      <c r="A114" s="5" t="s">
        <v>132</v>
      </c>
      <c r="B114" s="18">
        <v>76</v>
      </c>
      <c r="C114" s="12">
        <v>2753.37</v>
      </c>
      <c r="D114" s="12">
        <v>1805.47</v>
      </c>
      <c r="E114" s="12">
        <v>11036</v>
      </c>
      <c r="F114" s="12">
        <v>835.15</v>
      </c>
      <c r="G114" s="12">
        <v>0</v>
      </c>
      <c r="H114" s="12">
        <v>0</v>
      </c>
      <c r="I114" s="12">
        <v>0</v>
      </c>
      <c r="J114" s="12">
        <v>0</v>
      </c>
      <c r="K114" s="12">
        <v>1311.58</v>
      </c>
      <c r="L114" s="12">
        <v>1805.47</v>
      </c>
      <c r="M114" s="12">
        <f t="shared" si="3"/>
        <v>19547.04</v>
      </c>
      <c r="N114" s="12">
        <v>2635.6</v>
      </c>
      <c r="O114" s="12">
        <v>3909.47</v>
      </c>
      <c r="P114" s="12">
        <v>2714.74</v>
      </c>
      <c r="Q114" s="12">
        <f t="shared" si="6"/>
        <v>28806.85</v>
      </c>
    </row>
    <row r="115" spans="1:19" x14ac:dyDescent="0.25">
      <c r="A115" s="5" t="s">
        <v>133</v>
      </c>
      <c r="B115" s="18">
        <v>14</v>
      </c>
      <c r="C115" s="12">
        <v>3042.11</v>
      </c>
      <c r="D115" s="12">
        <v>2004.01</v>
      </c>
      <c r="E115" s="12">
        <v>15559.61</v>
      </c>
      <c r="F115" s="12">
        <v>2967.3</v>
      </c>
      <c r="G115" s="12">
        <v>997.41</v>
      </c>
      <c r="H115" s="12">
        <v>1047.28</v>
      </c>
      <c r="I115" s="12">
        <v>0</v>
      </c>
      <c r="J115" s="12">
        <v>0</v>
      </c>
      <c r="K115" s="12">
        <v>0</v>
      </c>
      <c r="L115" s="12">
        <v>112.48</v>
      </c>
      <c r="M115" s="12">
        <f t="shared" si="3"/>
        <v>25730.199999999997</v>
      </c>
      <c r="N115" s="12">
        <v>3457.88</v>
      </c>
      <c r="O115" s="12">
        <v>5157.25</v>
      </c>
      <c r="P115" s="12">
        <v>2774.61</v>
      </c>
      <c r="Q115" s="12">
        <f t="shared" si="6"/>
        <v>37119.94</v>
      </c>
    </row>
    <row r="116" spans="1:19" x14ac:dyDescent="0.25">
      <c r="A116" s="5" t="s">
        <v>134</v>
      </c>
      <c r="B116" s="18">
        <v>40</v>
      </c>
      <c r="C116" s="12">
        <v>746.1</v>
      </c>
      <c r="D116" s="12">
        <v>610.54</v>
      </c>
      <c r="E116" s="12">
        <v>3314.69</v>
      </c>
      <c r="F116" s="12">
        <v>452.56</v>
      </c>
      <c r="G116" s="12">
        <v>152.91</v>
      </c>
      <c r="H116" s="12">
        <v>232.4</v>
      </c>
      <c r="I116" s="12"/>
      <c r="J116" s="12"/>
      <c r="K116" s="12"/>
      <c r="L116" s="12"/>
      <c r="M116" s="12">
        <f t="shared" si="3"/>
        <v>5509.2</v>
      </c>
      <c r="N116" s="12">
        <v>712.19</v>
      </c>
      <c r="O116" s="12">
        <v>1109.01</v>
      </c>
      <c r="P116" s="12">
        <v>725.49</v>
      </c>
      <c r="Q116" s="12">
        <f t="shared" si="6"/>
        <v>8055.8899999999994</v>
      </c>
    </row>
    <row r="117" spans="1:19" x14ac:dyDescent="0.25">
      <c r="A117" s="5" t="s">
        <v>135</v>
      </c>
      <c r="B117" s="18">
        <v>132</v>
      </c>
      <c r="C117" s="12">
        <v>33439.199999999997</v>
      </c>
      <c r="D117" s="12">
        <v>42911.31</v>
      </c>
      <c r="E117" s="12">
        <v>95824.22</v>
      </c>
      <c r="F117" s="12">
        <v>11785.97</v>
      </c>
      <c r="G117" s="12">
        <v>5481.84</v>
      </c>
      <c r="H117" s="12">
        <v>1644.53</v>
      </c>
      <c r="I117" s="12">
        <v>822.26</v>
      </c>
      <c r="J117" s="12">
        <v>0</v>
      </c>
      <c r="K117" s="12">
        <v>3486.57</v>
      </c>
      <c r="L117" s="12">
        <v>451.71</v>
      </c>
      <c r="M117" s="12">
        <f t="shared" si="3"/>
        <v>195847.61</v>
      </c>
      <c r="N117" s="12">
        <v>23839.71</v>
      </c>
      <c r="O117" s="12">
        <v>38799.85</v>
      </c>
      <c r="P117" s="12">
        <v>21247.99</v>
      </c>
      <c r="Q117" s="12">
        <f t="shared" si="6"/>
        <v>279735.15999999997</v>
      </c>
    </row>
    <row r="118" spans="1:19" x14ac:dyDescent="0.25">
      <c r="A118" s="5" t="s">
        <v>136</v>
      </c>
      <c r="B118" s="18">
        <v>27</v>
      </c>
      <c r="C118" s="12">
        <v>1629.26</v>
      </c>
      <c r="D118" s="12">
        <v>1392.94</v>
      </c>
      <c r="E118" s="12">
        <v>7692.24</v>
      </c>
      <c r="F118" s="12">
        <v>1041.6600000000001</v>
      </c>
      <c r="G118" s="12">
        <v>305.85000000000002</v>
      </c>
      <c r="H118" s="12">
        <v>970.88</v>
      </c>
      <c r="I118" s="12">
        <v>0</v>
      </c>
      <c r="J118" s="12">
        <v>0</v>
      </c>
      <c r="K118" s="12">
        <v>1098.45</v>
      </c>
      <c r="L118" s="12">
        <v>180.45</v>
      </c>
      <c r="M118" s="12">
        <f t="shared" si="3"/>
        <v>14311.73</v>
      </c>
      <c r="N118" s="12">
        <v>1769.81</v>
      </c>
      <c r="O118" s="12">
        <v>2840.75</v>
      </c>
      <c r="P118" s="12">
        <v>1798.38</v>
      </c>
      <c r="Q118" s="12">
        <f t="shared" si="6"/>
        <v>20720.670000000002</v>
      </c>
    </row>
    <row r="119" spans="1:19" x14ac:dyDescent="0.25">
      <c r="A119" s="5" t="s">
        <v>137</v>
      </c>
      <c r="B119" s="18">
        <v>38</v>
      </c>
      <c r="C119" s="12">
        <v>2231.96</v>
      </c>
      <c r="D119" s="12">
        <v>2457.14</v>
      </c>
      <c r="E119" s="12">
        <v>7610.61</v>
      </c>
      <c r="F119" s="12">
        <v>1701.41</v>
      </c>
      <c r="G119" s="12">
        <v>548.85</v>
      </c>
      <c r="H119" s="12">
        <v>1683.13</v>
      </c>
      <c r="I119" s="12">
        <v>271.49</v>
      </c>
      <c r="J119" s="12">
        <v>104.3</v>
      </c>
      <c r="K119" s="12">
        <v>0</v>
      </c>
      <c r="L119" s="12">
        <v>9.49</v>
      </c>
      <c r="M119" s="12">
        <f t="shared" si="3"/>
        <v>16618.38</v>
      </c>
      <c r="N119" s="12">
        <v>2201.9499999999998</v>
      </c>
      <c r="O119" s="12">
        <v>3369.89</v>
      </c>
      <c r="P119" s="12">
        <v>2216.9299999999998</v>
      </c>
      <c r="Q119" s="12">
        <f t="shared" si="6"/>
        <v>24407.15</v>
      </c>
    </row>
    <row r="120" spans="1:19" x14ac:dyDescent="0.25">
      <c r="A120" s="5" t="s">
        <v>138</v>
      </c>
      <c r="B120" s="18">
        <v>45</v>
      </c>
      <c r="C120" s="12">
        <v>2089.65</v>
      </c>
      <c r="D120" s="12">
        <v>3327.54</v>
      </c>
      <c r="E120" s="12">
        <v>8152.96</v>
      </c>
      <c r="F120" s="12">
        <v>1061.95</v>
      </c>
      <c r="G120" s="12">
        <v>471.09</v>
      </c>
      <c r="H120" s="12">
        <v>1027.69</v>
      </c>
      <c r="I120" s="12"/>
      <c r="J120" s="12">
        <v>696.81</v>
      </c>
      <c r="K120" s="12">
        <v>1.2</v>
      </c>
      <c r="L120" s="12"/>
      <c r="M120" s="12">
        <f t="shared" si="3"/>
        <v>16828.890000000003</v>
      </c>
      <c r="N120" s="12">
        <v>2103.46</v>
      </c>
      <c r="O120" s="12">
        <v>3365.79</v>
      </c>
      <c r="P120" s="12">
        <v>2087.89</v>
      </c>
      <c r="Q120" s="12">
        <f t="shared" si="6"/>
        <v>24386.030000000002</v>
      </c>
    </row>
    <row r="121" spans="1:19" x14ac:dyDescent="0.25">
      <c r="A121" s="5" t="s">
        <v>139</v>
      </c>
      <c r="B121" s="18">
        <v>151</v>
      </c>
      <c r="C121" s="12">
        <v>18314.490000000002</v>
      </c>
      <c r="D121" s="12">
        <v>13607.65</v>
      </c>
      <c r="E121" s="12">
        <v>50174.63</v>
      </c>
      <c r="F121" s="12">
        <v>7806.18</v>
      </c>
      <c r="G121" s="12">
        <v>6004.76</v>
      </c>
      <c r="H121" s="12">
        <v>7956.27</v>
      </c>
      <c r="I121" s="12">
        <v>2101.65</v>
      </c>
      <c r="J121" s="12"/>
      <c r="K121" s="12"/>
      <c r="L121" s="12"/>
      <c r="M121" s="12">
        <f t="shared" si="3"/>
        <v>105965.62999999998</v>
      </c>
      <c r="N121" s="12">
        <v>13557.58</v>
      </c>
      <c r="O121" s="12">
        <v>21133.58</v>
      </c>
      <c r="P121" s="12">
        <v>12680.75</v>
      </c>
      <c r="Q121" s="12">
        <f t="shared" si="6"/>
        <v>153337.53999999998</v>
      </c>
    </row>
    <row r="122" spans="1:19" x14ac:dyDescent="0.25">
      <c r="A122" s="5" t="s">
        <v>140</v>
      </c>
      <c r="B122" s="18">
        <v>6</v>
      </c>
      <c r="C122" s="12">
        <v>83.77</v>
      </c>
      <c r="D122" s="12">
        <v>52.19</v>
      </c>
      <c r="E122" s="12">
        <v>233.48</v>
      </c>
      <c r="F122" s="12">
        <v>72.099999999999994</v>
      </c>
      <c r="G122" s="12">
        <v>27.47</v>
      </c>
      <c r="H122" s="12">
        <v>78.97</v>
      </c>
      <c r="I122" s="12">
        <v>0</v>
      </c>
      <c r="J122" s="12">
        <v>0</v>
      </c>
      <c r="K122" s="12">
        <v>0</v>
      </c>
      <c r="L122" s="12">
        <v>0</v>
      </c>
      <c r="M122" s="12">
        <f t="shared" si="3"/>
        <v>547.98</v>
      </c>
      <c r="N122" s="12">
        <v>78.08</v>
      </c>
      <c r="O122" s="12">
        <v>121.6</v>
      </c>
      <c r="P122" s="12">
        <v>104.8</v>
      </c>
      <c r="Q122" s="12">
        <f t="shared" si="6"/>
        <v>852.46</v>
      </c>
    </row>
    <row r="123" spans="1:19" x14ac:dyDescent="0.25">
      <c r="A123" s="7" t="s">
        <v>155</v>
      </c>
      <c r="B123" s="19">
        <v>31</v>
      </c>
      <c r="C123" s="15">
        <v>5132.71</v>
      </c>
      <c r="D123" s="15">
        <v>2944.99</v>
      </c>
      <c r="E123" s="15">
        <v>25769.53</v>
      </c>
      <c r="F123" s="15">
        <v>2825.39</v>
      </c>
      <c r="G123" s="15">
        <v>841.43</v>
      </c>
      <c r="H123" s="15">
        <v>715.22</v>
      </c>
      <c r="I123" s="15">
        <v>0</v>
      </c>
      <c r="J123" s="15">
        <v>0</v>
      </c>
      <c r="K123" s="15">
        <v>1183.76</v>
      </c>
      <c r="L123" s="15">
        <v>326.67</v>
      </c>
      <c r="M123" s="15">
        <f t="shared" si="3"/>
        <v>39739.699999999997</v>
      </c>
      <c r="N123" s="15">
        <v>4943.51</v>
      </c>
      <c r="O123" s="15">
        <v>7920.02</v>
      </c>
      <c r="P123" s="15">
        <v>4270.01</v>
      </c>
      <c r="Q123" s="15">
        <f t="shared" si="6"/>
        <v>56873.24</v>
      </c>
    </row>
    <row r="124" spans="1:19" x14ac:dyDescent="0.25">
      <c r="A124" s="5" t="s">
        <v>141</v>
      </c>
      <c r="B124" s="29">
        <f>SUM(B4:B123)</f>
        <v>12560</v>
      </c>
      <c r="C124" s="30">
        <f t="shared" ref="C124:Q124" si="7">SUM(C4:C123)</f>
        <v>1297158.6599999995</v>
      </c>
      <c r="D124" s="30">
        <f t="shared" si="7"/>
        <v>1619007.7500000002</v>
      </c>
      <c r="E124" s="30">
        <f t="shared" si="7"/>
        <v>6171701.7900000019</v>
      </c>
      <c r="F124" s="30">
        <f t="shared" si="7"/>
        <v>557558.97000000044</v>
      </c>
      <c r="G124" s="30">
        <f t="shared" si="7"/>
        <v>302735.62999999995</v>
      </c>
      <c r="H124" s="30">
        <f t="shared" si="7"/>
        <v>187921.24999999997</v>
      </c>
      <c r="I124" s="30">
        <f t="shared" si="7"/>
        <v>31524.510000000006</v>
      </c>
      <c r="J124" s="30">
        <f t="shared" si="7"/>
        <v>101575.17</v>
      </c>
      <c r="K124" s="30">
        <f t="shared" si="7"/>
        <v>426085.22000000003</v>
      </c>
      <c r="L124" s="30">
        <f t="shared" si="7"/>
        <v>896882.85000000021</v>
      </c>
      <c r="M124" s="30">
        <f t="shared" si="7"/>
        <v>11592151.799999999</v>
      </c>
      <c r="N124" s="30">
        <f t="shared" si="7"/>
        <v>1381052.6400000008</v>
      </c>
      <c r="O124" s="30">
        <f t="shared" si="7"/>
        <v>2285848.6200000015</v>
      </c>
      <c r="P124" s="30">
        <f t="shared" si="7"/>
        <v>1410709.0499999998</v>
      </c>
      <c r="Q124" s="30">
        <f t="shared" si="7"/>
        <v>16669762.109999999</v>
      </c>
    </row>
    <row r="126" spans="1:19" x14ac:dyDescent="0.25">
      <c r="B126" s="39" t="s">
        <v>172</v>
      </c>
      <c r="C126" s="39"/>
      <c r="D126" s="39"/>
      <c r="E126" s="39"/>
      <c r="F126" s="39"/>
      <c r="G126" s="39"/>
      <c r="H126" s="39"/>
      <c r="I126" s="39"/>
      <c r="J126" s="39"/>
      <c r="K126" s="39"/>
      <c r="L126" s="39"/>
      <c r="M126" s="39"/>
      <c r="N126" s="39"/>
      <c r="O126" s="39"/>
      <c r="P126" s="39"/>
      <c r="Q126" s="39"/>
      <c r="R126" s="39"/>
      <c r="S126" s="39"/>
    </row>
    <row r="127" spans="1:19" x14ac:dyDescent="0.25">
      <c r="B127" s="1"/>
      <c r="C127" s="1"/>
      <c r="D127" s="1"/>
      <c r="E127" s="1"/>
      <c r="F127" s="1"/>
      <c r="G127" s="1"/>
      <c r="H127" s="1"/>
      <c r="I127" s="1"/>
      <c r="J127" s="1"/>
      <c r="K127" s="1"/>
      <c r="L127" s="1"/>
      <c r="M127" s="1"/>
      <c r="N127" s="1"/>
      <c r="O127" s="1"/>
    </row>
    <row r="128" spans="1:19" x14ac:dyDescent="0.25">
      <c r="B128" s="2" t="s">
        <v>178</v>
      </c>
      <c r="C128" s="1"/>
      <c r="D128" s="1"/>
      <c r="E128" s="1"/>
      <c r="F128" s="1"/>
      <c r="G128" s="1"/>
      <c r="H128" s="1"/>
      <c r="I128" s="1"/>
      <c r="J128" s="1"/>
      <c r="K128" s="1"/>
      <c r="L128" s="1"/>
      <c r="M128" s="1"/>
      <c r="N128" s="1"/>
      <c r="O128" s="1"/>
    </row>
    <row r="129" spans="1:15" x14ac:dyDescent="0.25">
      <c r="B129" s="2"/>
      <c r="C129" s="1"/>
      <c r="D129" s="1"/>
      <c r="E129" s="1"/>
      <c r="F129" s="1"/>
      <c r="G129" s="1"/>
      <c r="H129" s="1"/>
      <c r="I129" s="1"/>
      <c r="J129" s="1"/>
      <c r="K129" s="1"/>
      <c r="L129" s="1"/>
      <c r="M129" s="1"/>
      <c r="N129" s="1"/>
      <c r="O129" s="1"/>
    </row>
    <row r="130" spans="1:15" x14ac:dyDescent="0.25">
      <c r="B130" s="1" t="s">
        <v>171</v>
      </c>
      <c r="C130" s="1"/>
      <c r="D130" s="1"/>
      <c r="E130" s="1"/>
      <c r="F130" s="1"/>
      <c r="G130" s="17"/>
      <c r="H130" s="17"/>
      <c r="I130" s="17"/>
      <c r="J130" s="17"/>
      <c r="K130" s="17"/>
      <c r="L130" s="17"/>
      <c r="M130" s="17"/>
      <c r="N130" s="17"/>
      <c r="O130" s="17"/>
    </row>
    <row r="131" spans="1:15" x14ac:dyDescent="0.25">
      <c r="B131" s="1" t="s">
        <v>145</v>
      </c>
      <c r="C131" s="1"/>
      <c r="D131" s="1"/>
      <c r="E131" s="1"/>
      <c r="F131" s="1"/>
      <c r="G131" s="17"/>
      <c r="H131" s="17"/>
      <c r="I131" s="17"/>
      <c r="J131" s="17"/>
      <c r="K131" s="17"/>
      <c r="L131" s="17"/>
      <c r="M131" s="17"/>
      <c r="N131" s="17"/>
      <c r="O131" s="17"/>
    </row>
    <row r="132" spans="1:15" x14ac:dyDescent="0.25">
      <c r="B132" s="1" t="s">
        <v>144</v>
      </c>
      <c r="C132" s="1"/>
      <c r="D132" s="1"/>
      <c r="E132" s="1"/>
      <c r="F132" s="1"/>
      <c r="G132" s="17"/>
      <c r="H132" s="17"/>
      <c r="I132" s="17"/>
      <c r="J132" s="17"/>
      <c r="K132" s="17"/>
      <c r="L132" s="17"/>
      <c r="M132" s="17"/>
      <c r="N132" s="17"/>
      <c r="O132" s="17"/>
    </row>
    <row r="133" spans="1:15" x14ac:dyDescent="0.25">
      <c r="B133" s="1" t="s">
        <v>146</v>
      </c>
      <c r="C133" s="1"/>
      <c r="D133" s="1"/>
      <c r="E133" s="1"/>
      <c r="F133" s="1"/>
      <c r="G133" s="17"/>
      <c r="H133" s="17"/>
      <c r="I133" s="17"/>
      <c r="J133" s="17"/>
      <c r="K133" s="17"/>
      <c r="L133" s="17"/>
      <c r="M133" s="17"/>
      <c r="N133" s="17"/>
      <c r="O133" s="17"/>
    </row>
    <row r="134" spans="1:15" x14ac:dyDescent="0.25">
      <c r="A134" s="31">
        <v>41912</v>
      </c>
      <c r="B134" s="1"/>
      <c r="C134" s="1"/>
      <c r="D134" s="1"/>
      <c r="E134" s="1"/>
      <c r="F134" s="1"/>
      <c r="G134" s="1"/>
      <c r="H134" s="1"/>
      <c r="I134" s="1"/>
      <c r="J134" s="1"/>
      <c r="K134" s="1"/>
      <c r="L134" s="1"/>
      <c r="M134" s="1"/>
      <c r="N134" s="1"/>
      <c r="O134" s="1"/>
    </row>
    <row r="135" spans="1:15" x14ac:dyDescent="0.25">
      <c r="B135" s="1"/>
      <c r="C135" s="1"/>
      <c r="D135" s="1"/>
      <c r="E135" s="1"/>
      <c r="F135" s="1"/>
      <c r="G135" s="1"/>
      <c r="H135" s="1"/>
      <c r="I135" s="1"/>
      <c r="J135" s="1"/>
      <c r="K135" s="1"/>
      <c r="L135" s="1"/>
      <c r="M135" s="1"/>
      <c r="N135" s="1"/>
      <c r="O135" s="1"/>
    </row>
    <row r="139" spans="1:15" x14ac:dyDescent="0.25">
      <c r="A139" s="5"/>
    </row>
  </sheetData>
  <mergeCells count="1">
    <mergeCell ref="A1:Q1"/>
  </mergeCells>
  <pageMargins left="0.7" right="0.7" top="0.75" bottom="0.75" header="0.3" footer="0.3"/>
  <pageSetup paperSize="5"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9"/>
  <sheetViews>
    <sheetView workbookViewId="0">
      <pane xSplit="1" ySplit="3" topLeftCell="G111" activePane="bottomRight" state="frozen"/>
      <selection pane="topRight" activeCell="B1" sqref="B1"/>
      <selection pane="bottomLeft" activeCell="A4" sqref="A4"/>
      <selection pane="bottomRight" activeCell="O124" sqref="O124"/>
    </sheetView>
  </sheetViews>
  <sheetFormatPr defaultRowHeight="15" x14ac:dyDescent="0.25"/>
  <cols>
    <col min="1" max="1" width="13.7109375" customWidth="1"/>
    <col min="2" max="2" width="12.5703125" style="40" customWidth="1"/>
    <col min="3" max="3" width="14.28515625" customWidth="1"/>
    <col min="4" max="4" width="13.5703125" customWidth="1"/>
    <col min="5" max="5" width="13.7109375" customWidth="1"/>
    <col min="6" max="7" width="12" customWidth="1"/>
    <col min="8" max="8" width="12.42578125" customWidth="1"/>
    <col min="9" max="9" width="14" customWidth="1"/>
    <col min="10" max="10" width="14.7109375" customWidth="1"/>
    <col min="11" max="11" width="12.140625" customWidth="1"/>
    <col min="12" max="12" width="17.5703125" customWidth="1"/>
    <col min="13" max="13" width="14.85546875" customWidth="1"/>
    <col min="14" max="14" width="14.28515625" customWidth="1"/>
    <col min="15" max="15" width="14.42578125" customWidth="1"/>
    <col min="16" max="16" width="14.85546875" customWidth="1"/>
    <col min="17" max="17" width="15.42578125" customWidth="1"/>
    <col min="18" max="18" width="10.140625" bestFit="1" customWidth="1"/>
  </cols>
  <sheetData>
    <row r="1" spans="1:20" ht="23.25" x14ac:dyDescent="0.35">
      <c r="A1" s="67" t="s">
        <v>180</v>
      </c>
      <c r="B1" s="67"/>
      <c r="C1" s="67"/>
      <c r="D1" s="67"/>
      <c r="E1" s="67"/>
      <c r="F1" s="67"/>
      <c r="G1" s="67"/>
      <c r="H1" s="67"/>
      <c r="I1" s="67"/>
      <c r="J1" s="67"/>
      <c r="K1" s="67"/>
      <c r="L1" s="67"/>
      <c r="M1" s="67"/>
      <c r="N1" s="67"/>
      <c r="O1" s="67"/>
      <c r="P1" s="67"/>
      <c r="Q1" s="67"/>
    </row>
    <row r="3" spans="1:20" ht="39" x14ac:dyDescent="0.25">
      <c r="A3" s="7" t="s">
        <v>0</v>
      </c>
      <c r="B3" s="26" t="s">
        <v>165</v>
      </c>
      <c r="C3" s="23" t="s">
        <v>3</v>
      </c>
      <c r="D3" s="23" t="s">
        <v>4</v>
      </c>
      <c r="E3" s="23" t="s">
        <v>5</v>
      </c>
      <c r="F3" s="23" t="s">
        <v>6</v>
      </c>
      <c r="G3" s="23" t="s">
        <v>7</v>
      </c>
      <c r="H3" s="23" t="s">
        <v>8</v>
      </c>
      <c r="I3" s="26" t="s">
        <v>160</v>
      </c>
      <c r="J3" s="23" t="s">
        <v>26</v>
      </c>
      <c r="K3" s="23" t="s">
        <v>10</v>
      </c>
      <c r="L3" s="8" t="s">
        <v>11</v>
      </c>
      <c r="M3" s="27" t="s">
        <v>181</v>
      </c>
      <c r="N3" s="27" t="s">
        <v>162</v>
      </c>
      <c r="O3" s="27" t="s">
        <v>163</v>
      </c>
      <c r="P3" s="27" t="s">
        <v>164</v>
      </c>
      <c r="Q3" s="27" t="s">
        <v>182</v>
      </c>
    </row>
    <row r="4" spans="1:20" ht="18.75" customHeight="1" x14ac:dyDescent="0.25">
      <c r="A4" s="5" t="s">
        <v>25</v>
      </c>
      <c r="B4" s="40">
        <v>31</v>
      </c>
      <c r="C4" s="42">
        <v>1369.36</v>
      </c>
      <c r="D4" s="42">
        <v>1778.35</v>
      </c>
      <c r="E4" s="42">
        <v>5668.29</v>
      </c>
      <c r="F4" s="42">
        <v>594.9</v>
      </c>
      <c r="G4" s="42">
        <v>336.73</v>
      </c>
      <c r="H4" s="42">
        <v>493.88</v>
      </c>
      <c r="I4" s="42">
        <v>190.85</v>
      </c>
      <c r="J4" s="42">
        <v>460.2</v>
      </c>
      <c r="K4" s="42"/>
      <c r="L4" s="42">
        <v>1122.43</v>
      </c>
      <c r="M4" s="42">
        <f>SUM(C4:L4)</f>
        <v>12014.99</v>
      </c>
      <c r="N4" s="42">
        <v>1567.24</v>
      </c>
      <c r="O4" s="42">
        <v>2347.21</v>
      </c>
      <c r="P4" s="42">
        <v>1483.6</v>
      </c>
      <c r="Q4" s="42">
        <f>SUM(M4:P4)</f>
        <v>17413.039999999997</v>
      </c>
      <c r="R4" s="42"/>
      <c r="S4" s="42"/>
      <c r="T4" s="42"/>
    </row>
    <row r="5" spans="1:20" x14ac:dyDescent="0.25">
      <c r="A5" s="5" t="s">
        <v>27</v>
      </c>
      <c r="B5" s="40">
        <v>79</v>
      </c>
      <c r="C5" s="42">
        <v>4768.8</v>
      </c>
      <c r="D5" s="42">
        <v>4224.84</v>
      </c>
      <c r="E5" s="42">
        <v>23101.279999999999</v>
      </c>
      <c r="F5" s="42">
        <v>3517.97</v>
      </c>
      <c r="G5" s="42">
        <v>2149.92</v>
      </c>
      <c r="H5" s="42">
        <v>1368.15</v>
      </c>
      <c r="I5" s="42">
        <v>781.76</v>
      </c>
      <c r="J5" s="42">
        <v>3869.78</v>
      </c>
      <c r="K5" s="42">
        <v>1535.1</v>
      </c>
      <c r="L5" s="42">
        <v>8.7200000000000006</v>
      </c>
      <c r="M5" s="42">
        <f t="shared" ref="M5:M68" si="0">SUM(C5:L5)</f>
        <v>45326.32</v>
      </c>
      <c r="N5" s="42">
        <v>5841.56</v>
      </c>
      <c r="O5" s="42">
        <v>9086.89</v>
      </c>
      <c r="P5" s="42">
        <v>5728.45</v>
      </c>
      <c r="Q5" s="42">
        <f t="shared" ref="Q5:Q68" si="1">SUM(M5:P5)</f>
        <v>65983.22</v>
      </c>
      <c r="R5" s="42"/>
      <c r="S5" s="42"/>
      <c r="T5" s="42"/>
    </row>
    <row r="6" spans="1:20" x14ac:dyDescent="0.25">
      <c r="A6" s="5" t="s">
        <v>28</v>
      </c>
      <c r="B6" s="40">
        <v>78</v>
      </c>
      <c r="C6" s="42">
        <v>10903.18</v>
      </c>
      <c r="D6" s="42">
        <v>12230.77</v>
      </c>
      <c r="E6" s="42">
        <v>52281.65</v>
      </c>
      <c r="F6" s="42">
        <v>7507.12</v>
      </c>
      <c r="G6" s="42">
        <v>2681.11</v>
      </c>
      <c r="H6" s="42">
        <v>1251.19</v>
      </c>
      <c r="I6" s="42"/>
      <c r="J6" s="42"/>
      <c r="K6" s="42">
        <v>2326.08</v>
      </c>
      <c r="L6" s="42"/>
      <c r="M6" s="42">
        <f t="shared" si="0"/>
        <v>89181.1</v>
      </c>
      <c r="N6" s="42">
        <v>11543.65</v>
      </c>
      <c r="O6" s="42">
        <v>18198.72</v>
      </c>
      <c r="P6" s="42">
        <v>10269.379999999999</v>
      </c>
      <c r="Q6" s="42">
        <f t="shared" si="1"/>
        <v>129192.85</v>
      </c>
      <c r="R6" s="42"/>
      <c r="S6" s="42"/>
      <c r="T6" s="42"/>
    </row>
    <row r="7" spans="1:20" x14ac:dyDescent="0.25">
      <c r="A7" s="5" t="s">
        <v>29</v>
      </c>
      <c r="B7" s="40">
        <v>25</v>
      </c>
      <c r="C7" s="42">
        <v>1189.54</v>
      </c>
      <c r="D7" s="42">
        <v>1920.84</v>
      </c>
      <c r="E7" s="42">
        <v>5031.1899999999996</v>
      </c>
      <c r="F7" s="42"/>
      <c r="G7" s="42">
        <v>292.51</v>
      </c>
      <c r="H7" s="42">
        <v>292.51</v>
      </c>
      <c r="I7" s="42">
        <v>155.99</v>
      </c>
      <c r="J7" s="42"/>
      <c r="K7" s="42">
        <v>1.98</v>
      </c>
      <c r="L7" s="42"/>
      <c r="M7" s="42">
        <f t="shared" si="0"/>
        <v>8884.56</v>
      </c>
      <c r="N7" s="42">
        <v>1180.9100000000001</v>
      </c>
      <c r="O7" s="42">
        <v>1776.88</v>
      </c>
      <c r="P7" s="42">
        <v>1138.48</v>
      </c>
      <c r="Q7" s="42">
        <f t="shared" si="1"/>
        <v>12980.829999999998</v>
      </c>
      <c r="R7" s="42"/>
      <c r="S7" s="42"/>
      <c r="T7" s="42"/>
    </row>
    <row r="8" spans="1:20" x14ac:dyDescent="0.25">
      <c r="A8" s="5" t="s">
        <v>30</v>
      </c>
      <c r="B8" s="40">
        <v>79</v>
      </c>
      <c r="C8" s="42">
        <v>5448.23</v>
      </c>
      <c r="D8" s="42">
        <v>6784.46</v>
      </c>
      <c r="E8" s="42">
        <v>31675.79</v>
      </c>
      <c r="F8" s="42">
        <v>1295.07</v>
      </c>
      <c r="G8" s="42"/>
      <c r="H8" s="42">
        <v>714.51</v>
      </c>
      <c r="I8" s="42"/>
      <c r="J8" s="42"/>
      <c r="K8" s="42">
        <v>1151.2</v>
      </c>
      <c r="L8" s="42">
        <v>1146.3599999999999</v>
      </c>
      <c r="M8" s="42">
        <f t="shared" si="0"/>
        <v>48215.619999999995</v>
      </c>
      <c r="N8" s="42">
        <v>5848.37</v>
      </c>
      <c r="O8" s="42">
        <v>9658.7800000000007</v>
      </c>
      <c r="P8" s="42">
        <v>5935.41</v>
      </c>
      <c r="Q8" s="42">
        <f t="shared" si="1"/>
        <v>69658.179999999993</v>
      </c>
      <c r="R8" s="42"/>
      <c r="S8" s="42"/>
      <c r="T8" s="42"/>
    </row>
    <row r="9" spans="1:20" x14ac:dyDescent="0.25">
      <c r="A9" s="5" t="s">
        <v>31</v>
      </c>
      <c r="B9" s="40">
        <v>21</v>
      </c>
      <c r="C9" s="42">
        <v>1229.1099999999999</v>
      </c>
      <c r="D9" s="42">
        <v>1093.07</v>
      </c>
      <c r="E9" s="42">
        <v>4451.1499999999996</v>
      </c>
      <c r="F9" s="42">
        <v>983.61</v>
      </c>
      <c r="G9" s="42">
        <v>906.73</v>
      </c>
      <c r="H9" s="42">
        <v>740.9</v>
      </c>
      <c r="I9" s="42">
        <v>190.5</v>
      </c>
      <c r="J9" s="42">
        <v>916.8</v>
      </c>
      <c r="K9" s="42">
        <v>618.05999999999995</v>
      </c>
      <c r="L9" s="42"/>
      <c r="M9" s="42">
        <f t="shared" si="0"/>
        <v>11129.929999999998</v>
      </c>
      <c r="N9" s="42">
        <v>1413.17</v>
      </c>
      <c r="O9" s="42">
        <v>2266.98</v>
      </c>
      <c r="P9" s="42">
        <v>1427.49</v>
      </c>
      <c r="Q9" s="42">
        <f t="shared" si="1"/>
        <v>16237.569999999998</v>
      </c>
      <c r="R9" s="42"/>
      <c r="S9" s="42"/>
      <c r="T9" s="42"/>
    </row>
    <row r="10" spans="1:20" x14ac:dyDescent="0.25">
      <c r="A10" s="5" t="s">
        <v>32</v>
      </c>
      <c r="B10" s="40">
        <v>85</v>
      </c>
      <c r="C10" s="42">
        <v>9065.44</v>
      </c>
      <c r="D10" s="42">
        <v>9841.69</v>
      </c>
      <c r="E10" s="42">
        <v>39058.160000000003</v>
      </c>
      <c r="F10" s="42">
        <v>6390.38</v>
      </c>
      <c r="G10" s="42">
        <v>4086.85</v>
      </c>
      <c r="H10" s="42"/>
      <c r="I10" s="42"/>
      <c r="J10" s="42"/>
      <c r="K10" s="42"/>
      <c r="L10" s="42">
        <v>2556.71</v>
      </c>
      <c r="M10" s="42">
        <f t="shared" si="0"/>
        <v>70999.23000000001</v>
      </c>
      <c r="N10" s="42">
        <v>8422.36</v>
      </c>
      <c r="O10" s="42">
        <v>14080.84</v>
      </c>
      <c r="P10" s="42">
        <v>8215.42</v>
      </c>
      <c r="Q10" s="42">
        <f t="shared" si="1"/>
        <v>101717.85</v>
      </c>
      <c r="R10" s="42"/>
      <c r="S10" s="42"/>
      <c r="T10" s="42"/>
    </row>
    <row r="11" spans="1:20" x14ac:dyDescent="0.25">
      <c r="A11" s="5" t="s">
        <v>33</v>
      </c>
      <c r="B11" s="40">
        <v>114</v>
      </c>
      <c r="C11" s="42">
        <v>27601.86</v>
      </c>
      <c r="D11" s="42">
        <v>23755.8</v>
      </c>
      <c r="E11" s="42">
        <v>144442.6</v>
      </c>
      <c r="F11" s="42">
        <v>11764.75</v>
      </c>
      <c r="G11" s="42">
        <v>4298.74</v>
      </c>
      <c r="H11" s="42">
        <v>4072.38</v>
      </c>
      <c r="I11" s="42"/>
      <c r="J11" s="42"/>
      <c r="K11" s="42">
        <v>19649.2</v>
      </c>
      <c r="L11" s="42"/>
      <c r="M11" s="42">
        <f t="shared" si="0"/>
        <v>235585.33000000002</v>
      </c>
      <c r="N11" s="42">
        <v>28100.23</v>
      </c>
      <c r="O11" s="42">
        <v>47329.21</v>
      </c>
      <c r="P11" s="42">
        <v>25257.51</v>
      </c>
      <c r="Q11" s="42">
        <f t="shared" si="1"/>
        <v>336272.28</v>
      </c>
      <c r="R11" s="42"/>
      <c r="S11" s="42"/>
      <c r="T11" s="42"/>
    </row>
    <row r="12" spans="1:20" x14ac:dyDescent="0.25">
      <c r="A12" s="5" t="s">
        <v>34</v>
      </c>
      <c r="B12" s="40">
        <v>50</v>
      </c>
      <c r="C12" s="42">
        <v>8976.36</v>
      </c>
      <c r="D12" s="42">
        <v>11230.13</v>
      </c>
      <c r="E12" s="42">
        <v>31344.1</v>
      </c>
      <c r="F12" s="42">
        <v>6467.35</v>
      </c>
      <c r="G12" s="42">
        <v>3340.89</v>
      </c>
      <c r="H12" s="42">
        <v>1891.09</v>
      </c>
      <c r="I12" s="42">
        <v>512.61</v>
      </c>
      <c r="J12" s="42"/>
      <c r="K12" s="42"/>
      <c r="L12" s="42"/>
      <c r="M12" s="42">
        <f t="shared" si="0"/>
        <v>63762.529999999992</v>
      </c>
      <c r="N12" s="42">
        <v>7459.19</v>
      </c>
      <c r="O12" s="42">
        <v>12567.17</v>
      </c>
      <c r="P12" s="42">
        <v>7320.22</v>
      </c>
      <c r="Q12" s="42">
        <f t="shared" si="1"/>
        <v>91109.109999999986</v>
      </c>
      <c r="R12" s="42"/>
      <c r="S12" s="42"/>
      <c r="T12" s="42"/>
    </row>
    <row r="13" spans="1:20" x14ac:dyDescent="0.25">
      <c r="A13" s="5" t="s">
        <v>35</v>
      </c>
      <c r="B13" s="40">
        <v>203</v>
      </c>
      <c r="C13" s="42">
        <v>24357.3</v>
      </c>
      <c r="D13" s="42">
        <v>37374.76</v>
      </c>
      <c r="E13" s="42">
        <v>61854.06</v>
      </c>
      <c r="F13" s="42">
        <v>24756.67</v>
      </c>
      <c r="G13" s="42">
        <v>11979</v>
      </c>
      <c r="H13" s="42">
        <v>7786.36</v>
      </c>
      <c r="I13" s="42"/>
      <c r="J13" s="42">
        <v>15972</v>
      </c>
      <c r="K13" s="42">
        <v>9302.2000000000007</v>
      </c>
      <c r="L13" s="42"/>
      <c r="M13" s="42">
        <f t="shared" si="0"/>
        <v>193382.34999999998</v>
      </c>
      <c r="N13" s="42">
        <v>24748.400000000001</v>
      </c>
      <c r="O13" s="42">
        <v>38595.32</v>
      </c>
      <c r="P13" s="42">
        <v>22139.54</v>
      </c>
      <c r="Q13" s="42">
        <f t="shared" si="1"/>
        <v>278865.61</v>
      </c>
      <c r="R13" s="42"/>
      <c r="S13" s="42"/>
      <c r="T13" s="42"/>
    </row>
    <row r="14" spans="1:20" x14ac:dyDescent="0.25">
      <c r="A14" s="5" t="s">
        <v>36</v>
      </c>
      <c r="B14" s="40">
        <v>47</v>
      </c>
      <c r="C14" s="42">
        <v>4164.03</v>
      </c>
      <c r="D14" s="42">
        <v>2526.3000000000002</v>
      </c>
      <c r="E14" s="42">
        <v>10601.4</v>
      </c>
      <c r="F14" s="42">
        <v>2437.8200000000002</v>
      </c>
      <c r="G14" s="42">
        <v>853.29</v>
      </c>
      <c r="H14" s="42">
        <v>1058.08</v>
      </c>
      <c r="I14" s="42"/>
      <c r="J14" s="42"/>
      <c r="K14" s="42">
        <v>1022.65</v>
      </c>
      <c r="L14" s="42">
        <v>2703.4</v>
      </c>
      <c r="M14" s="42">
        <f t="shared" si="0"/>
        <v>25366.97</v>
      </c>
      <c r="N14" s="42">
        <v>3165.79</v>
      </c>
      <c r="O14" s="42">
        <v>4998.59</v>
      </c>
      <c r="P14" s="42">
        <v>3204.15</v>
      </c>
      <c r="Q14" s="42">
        <f t="shared" si="1"/>
        <v>36735.500000000007</v>
      </c>
      <c r="R14" s="42"/>
      <c r="S14" s="42"/>
      <c r="T14" s="42"/>
    </row>
    <row r="15" spans="1:20" ht="17.25" customHeight="1" x14ac:dyDescent="0.25">
      <c r="A15" s="5" t="s">
        <v>37</v>
      </c>
      <c r="B15" s="40">
        <v>14</v>
      </c>
      <c r="C15" s="42">
        <v>1170.6600000000001</v>
      </c>
      <c r="D15" s="42">
        <v>3931.06</v>
      </c>
      <c r="E15" s="42">
        <v>4409.43</v>
      </c>
      <c r="F15" s="42">
        <v>882.8</v>
      </c>
      <c r="G15" s="42">
        <v>460.59</v>
      </c>
      <c r="H15" s="42">
        <v>642.91999999999996</v>
      </c>
      <c r="I15" s="42">
        <v>191.91</v>
      </c>
      <c r="J15" s="42">
        <v>796.45</v>
      </c>
      <c r="K15" s="42"/>
      <c r="L15" s="42"/>
      <c r="M15" s="42">
        <f t="shared" si="0"/>
        <v>12485.820000000002</v>
      </c>
      <c r="N15" s="42">
        <v>1614.34</v>
      </c>
      <c r="O15" s="42">
        <v>2474.77</v>
      </c>
      <c r="P15" s="42">
        <v>1839.29</v>
      </c>
      <c r="Q15" s="42">
        <f t="shared" si="1"/>
        <v>18414.22</v>
      </c>
      <c r="R15" s="42"/>
      <c r="S15" s="42"/>
      <c r="T15" s="42"/>
    </row>
    <row r="16" spans="1:20" x14ac:dyDescent="0.25">
      <c r="A16" s="5" t="s">
        <v>38</v>
      </c>
      <c r="B16" s="40">
        <v>66</v>
      </c>
      <c r="C16" s="42">
        <v>3218.32</v>
      </c>
      <c r="D16" s="42">
        <v>3047.15</v>
      </c>
      <c r="E16" s="42">
        <v>11216.03</v>
      </c>
      <c r="F16" s="42">
        <v>2769.87</v>
      </c>
      <c r="G16" s="42">
        <v>2110.39</v>
      </c>
      <c r="H16" s="42">
        <v>2875.38</v>
      </c>
      <c r="I16" s="42">
        <v>580.37</v>
      </c>
      <c r="J16" s="42"/>
      <c r="K16" s="42">
        <v>83.76</v>
      </c>
      <c r="L16" s="42"/>
      <c r="M16" s="42">
        <f t="shared" si="0"/>
        <v>25901.269999999997</v>
      </c>
      <c r="N16" s="42">
        <v>3205.88</v>
      </c>
      <c r="O16" s="42">
        <v>5114.21</v>
      </c>
      <c r="P16" s="42">
        <v>3547.17</v>
      </c>
      <c r="Q16" s="42">
        <f t="shared" si="1"/>
        <v>37768.53</v>
      </c>
      <c r="R16" s="42"/>
      <c r="S16" s="42"/>
      <c r="T16" s="42"/>
    </row>
    <row r="17" spans="1:20" x14ac:dyDescent="0.25">
      <c r="A17" s="28" t="s">
        <v>175</v>
      </c>
      <c r="B17" s="40">
        <v>67</v>
      </c>
      <c r="C17" s="42">
        <v>3649.89</v>
      </c>
      <c r="D17" s="42">
        <v>3690.77</v>
      </c>
      <c r="E17" s="42">
        <v>16681.97</v>
      </c>
      <c r="F17" s="42">
        <v>2722.53</v>
      </c>
      <c r="G17" s="42">
        <v>927.49</v>
      </c>
      <c r="H17" s="42">
        <v>1256.52</v>
      </c>
      <c r="I17" s="42">
        <v>299.2</v>
      </c>
      <c r="J17" s="42"/>
      <c r="K17" s="42">
        <v>2622.54</v>
      </c>
      <c r="L17" s="42">
        <v>524.16999999999996</v>
      </c>
      <c r="M17" s="42">
        <f t="shared" si="0"/>
        <v>32375.08</v>
      </c>
      <c r="N17" s="42">
        <v>4326.7</v>
      </c>
      <c r="O17" s="42">
        <v>6542.01</v>
      </c>
      <c r="P17" s="42">
        <v>4745.0200000000004</v>
      </c>
      <c r="Q17" s="42">
        <f t="shared" si="1"/>
        <v>47988.81</v>
      </c>
      <c r="R17" s="42"/>
      <c r="S17" s="42"/>
      <c r="T17" s="42"/>
    </row>
    <row r="18" spans="1:20" x14ac:dyDescent="0.25">
      <c r="A18" s="34" t="s">
        <v>40</v>
      </c>
      <c r="B18" s="40">
        <v>203</v>
      </c>
      <c r="C18" s="42">
        <v>22617.41</v>
      </c>
      <c r="D18" s="42">
        <v>20639.25</v>
      </c>
      <c r="E18" s="42">
        <v>119019.25</v>
      </c>
      <c r="F18" s="42">
        <v>12791.84</v>
      </c>
      <c r="G18" s="42">
        <v>4449.34</v>
      </c>
      <c r="H18" s="42">
        <v>1853.89</v>
      </c>
      <c r="I18" s="42"/>
      <c r="J18" s="42"/>
      <c r="K18" s="42">
        <v>14112.09</v>
      </c>
      <c r="L18" s="42">
        <v>5295.02</v>
      </c>
      <c r="M18" s="42">
        <f t="shared" si="0"/>
        <v>200778.09</v>
      </c>
      <c r="N18" s="42">
        <v>23956.33</v>
      </c>
      <c r="O18" s="42">
        <v>39993.26</v>
      </c>
      <c r="P18" s="42">
        <v>22838.6</v>
      </c>
      <c r="Q18" s="42">
        <f t="shared" si="1"/>
        <v>287566.27999999997</v>
      </c>
      <c r="R18" s="42"/>
      <c r="S18" s="42"/>
      <c r="T18" s="42"/>
    </row>
    <row r="19" spans="1:20" x14ac:dyDescent="0.25">
      <c r="A19" s="5" t="s">
        <v>41</v>
      </c>
      <c r="B19" s="40">
        <v>38</v>
      </c>
      <c r="C19" s="42">
        <v>2148.36</v>
      </c>
      <c r="D19" s="42">
        <v>1479.19</v>
      </c>
      <c r="E19" s="42">
        <v>6885.33</v>
      </c>
      <c r="F19" s="42">
        <v>1179.8900000000001</v>
      </c>
      <c r="G19" s="42">
        <v>396.28</v>
      </c>
      <c r="H19" s="42">
        <v>1144.7</v>
      </c>
      <c r="I19" s="42"/>
      <c r="J19" s="42">
        <v>1567.26</v>
      </c>
      <c r="K19" s="42"/>
      <c r="L19" s="42">
        <v>36.729999999999997</v>
      </c>
      <c r="M19" s="42">
        <f t="shared" si="0"/>
        <v>14837.740000000002</v>
      </c>
      <c r="N19" s="42">
        <v>1980.22</v>
      </c>
      <c r="O19" s="42">
        <v>3043.55</v>
      </c>
      <c r="P19" s="42">
        <v>1863.78</v>
      </c>
      <c r="Q19" s="42">
        <f t="shared" si="1"/>
        <v>21725.29</v>
      </c>
      <c r="R19" s="42"/>
      <c r="S19" s="42"/>
      <c r="T19" s="42"/>
    </row>
    <row r="20" spans="1:20" x14ac:dyDescent="0.25">
      <c r="A20" s="5" t="s">
        <v>42</v>
      </c>
      <c r="B20" s="40">
        <v>11</v>
      </c>
      <c r="C20" s="42">
        <v>615.30999999999995</v>
      </c>
      <c r="D20" s="42">
        <v>596.5</v>
      </c>
      <c r="E20" s="42">
        <v>1896.37</v>
      </c>
      <c r="F20" s="42">
        <v>267.32</v>
      </c>
      <c r="G20" s="42">
        <v>252.19</v>
      </c>
      <c r="H20" s="42">
        <v>191.67</v>
      </c>
      <c r="I20" s="42"/>
      <c r="J20" s="42"/>
      <c r="K20" s="42"/>
      <c r="L20" s="42">
        <v>288.19</v>
      </c>
      <c r="M20" s="42">
        <f t="shared" si="0"/>
        <v>4107.55</v>
      </c>
      <c r="N20" s="42">
        <v>521.07000000000005</v>
      </c>
      <c r="O20" s="42">
        <v>828.11</v>
      </c>
      <c r="P20" s="42">
        <v>513.08000000000004</v>
      </c>
      <c r="Q20" s="42">
        <f t="shared" si="1"/>
        <v>5969.8099999999995</v>
      </c>
      <c r="R20" s="42"/>
      <c r="S20" s="42"/>
      <c r="T20" s="42"/>
    </row>
    <row r="21" spans="1:20" x14ac:dyDescent="0.25">
      <c r="A21" s="5" t="s">
        <v>43</v>
      </c>
      <c r="B21" s="40">
        <v>92</v>
      </c>
      <c r="C21" s="42">
        <v>8498.56</v>
      </c>
      <c r="D21" s="42">
        <v>8920.41</v>
      </c>
      <c r="E21" s="42">
        <v>20865.099999999999</v>
      </c>
      <c r="F21" s="42">
        <v>4110.0200000000004</v>
      </c>
      <c r="G21" s="42">
        <v>1950.49</v>
      </c>
      <c r="H21" s="42">
        <v>1114.56</v>
      </c>
      <c r="I21" s="42"/>
      <c r="J21" s="42"/>
      <c r="K21" s="42">
        <v>1602.38</v>
      </c>
      <c r="L21" s="42">
        <v>72.150000000000006</v>
      </c>
      <c r="M21" s="42">
        <f t="shared" si="0"/>
        <v>47133.669999999991</v>
      </c>
      <c r="N21" s="42">
        <v>6100.24</v>
      </c>
      <c r="O21" s="42">
        <v>9486.59</v>
      </c>
      <c r="P21" s="42">
        <v>5576.77</v>
      </c>
      <c r="Q21" s="42">
        <f t="shared" si="1"/>
        <v>68297.26999999999</v>
      </c>
      <c r="R21" s="42"/>
      <c r="S21" s="42"/>
      <c r="T21" s="42"/>
    </row>
    <row r="22" spans="1:20" x14ac:dyDescent="0.25">
      <c r="A22" s="5" t="s">
        <v>44</v>
      </c>
      <c r="B22" s="40">
        <v>200</v>
      </c>
      <c r="C22" s="42">
        <v>25095.279999999999</v>
      </c>
      <c r="D22" s="42">
        <v>37677.599999999999</v>
      </c>
      <c r="E22" s="42">
        <v>77926.149999999994</v>
      </c>
      <c r="F22" s="42">
        <v>15838.84</v>
      </c>
      <c r="G22" s="42">
        <v>4525.3900000000003</v>
      </c>
      <c r="H22" s="42">
        <v>6582.38</v>
      </c>
      <c r="I22" s="42">
        <v>575.91999999999996</v>
      </c>
      <c r="J22" s="42"/>
      <c r="K22" s="42">
        <v>7815.06</v>
      </c>
      <c r="L22" s="42"/>
      <c r="M22" s="42">
        <f t="shared" si="0"/>
        <v>176036.62000000002</v>
      </c>
      <c r="N22" s="42">
        <v>20667.22</v>
      </c>
      <c r="O22" s="42">
        <v>34407.29</v>
      </c>
      <c r="P22" s="42">
        <v>20003.689999999999</v>
      </c>
      <c r="Q22" s="42">
        <f t="shared" si="1"/>
        <v>251114.82000000004</v>
      </c>
      <c r="R22" s="42"/>
      <c r="S22" s="42"/>
      <c r="T22" s="42"/>
    </row>
    <row r="23" spans="1:20" x14ac:dyDescent="0.25">
      <c r="A23" s="5" t="s">
        <v>45</v>
      </c>
      <c r="B23" s="40">
        <v>0</v>
      </c>
      <c r="C23" s="42"/>
      <c r="D23" s="42"/>
      <c r="E23" s="42"/>
      <c r="F23" s="42"/>
      <c r="G23" s="42"/>
      <c r="H23" s="42"/>
      <c r="I23" s="42"/>
      <c r="J23" s="42"/>
      <c r="K23" s="42"/>
      <c r="L23" s="42"/>
      <c r="M23" s="42">
        <f t="shared" si="0"/>
        <v>0</v>
      </c>
      <c r="N23" s="42"/>
      <c r="O23" s="42"/>
      <c r="P23" s="42"/>
      <c r="Q23" s="42">
        <f t="shared" si="1"/>
        <v>0</v>
      </c>
      <c r="R23" s="42"/>
      <c r="S23" s="42"/>
      <c r="T23" s="42"/>
    </row>
    <row r="24" spans="1:20" x14ac:dyDescent="0.25">
      <c r="A24" s="5" t="s">
        <v>46</v>
      </c>
      <c r="B24" s="40">
        <v>19</v>
      </c>
      <c r="C24" s="42">
        <v>1776.16</v>
      </c>
      <c r="D24" s="42">
        <v>674.89</v>
      </c>
      <c r="E24" s="42">
        <v>8240.17</v>
      </c>
      <c r="F24" s="42">
        <v>1455.86</v>
      </c>
      <c r="G24" s="42">
        <v>786.17</v>
      </c>
      <c r="H24" s="42"/>
      <c r="I24" s="42"/>
      <c r="J24" s="42"/>
      <c r="K24" s="42">
        <v>276.52999999999997</v>
      </c>
      <c r="L24" s="42">
        <v>3.74</v>
      </c>
      <c r="M24" s="42">
        <f t="shared" si="0"/>
        <v>13213.520000000002</v>
      </c>
      <c r="N24" s="42">
        <v>1647.65</v>
      </c>
      <c r="O24" s="42">
        <v>2600.9</v>
      </c>
      <c r="P24" s="42">
        <v>1585.45</v>
      </c>
      <c r="Q24" s="42">
        <f t="shared" si="1"/>
        <v>19047.520000000004</v>
      </c>
      <c r="R24" s="42"/>
      <c r="S24" s="42"/>
      <c r="T24" s="42"/>
    </row>
    <row r="25" spans="1:20" x14ac:dyDescent="0.25">
      <c r="A25" s="5" t="s">
        <v>47</v>
      </c>
      <c r="B25" s="40">
        <v>158</v>
      </c>
      <c r="C25" s="42">
        <v>7199.72</v>
      </c>
      <c r="D25" s="42">
        <v>4319.09</v>
      </c>
      <c r="E25" s="42">
        <v>27441.69</v>
      </c>
      <c r="F25" s="42" t="s">
        <v>183</v>
      </c>
      <c r="G25" s="42">
        <v>2360.5700000000002</v>
      </c>
      <c r="H25" s="42">
        <v>2596.61</v>
      </c>
      <c r="I25" s="42"/>
      <c r="J25" s="42">
        <v>4485.07</v>
      </c>
      <c r="K25" s="42"/>
      <c r="L25" s="42">
        <v>50.06</v>
      </c>
      <c r="M25" s="42">
        <f t="shared" si="0"/>
        <v>48452.81</v>
      </c>
      <c r="N25" s="42">
        <v>6148.6</v>
      </c>
      <c r="O25" s="42">
        <v>9649.6</v>
      </c>
      <c r="P25" s="42">
        <v>5584.54</v>
      </c>
      <c r="Q25" s="42">
        <f t="shared" si="1"/>
        <v>69835.549999999988</v>
      </c>
      <c r="R25" s="42"/>
      <c r="S25" s="42"/>
      <c r="T25" s="42"/>
    </row>
    <row r="26" spans="1:20" x14ac:dyDescent="0.25">
      <c r="A26" s="5" t="s">
        <v>48</v>
      </c>
      <c r="B26" s="40">
        <v>22</v>
      </c>
      <c r="C26" s="42">
        <v>1432.5</v>
      </c>
      <c r="D26" s="42">
        <v>964.65</v>
      </c>
      <c r="E26" s="42">
        <v>5119.42</v>
      </c>
      <c r="F26" s="42">
        <v>1021.5</v>
      </c>
      <c r="G26" s="42">
        <v>504.88</v>
      </c>
      <c r="H26" s="42">
        <v>211.35</v>
      </c>
      <c r="I26" s="42">
        <v>164.39</v>
      </c>
      <c r="J26" s="42">
        <v>270.08999999999997</v>
      </c>
      <c r="K26" s="42"/>
      <c r="L26" s="42">
        <v>740.24</v>
      </c>
      <c r="M26" s="42">
        <f t="shared" si="0"/>
        <v>10429.019999999999</v>
      </c>
      <c r="N26" s="42">
        <v>1212.1400000000001</v>
      </c>
      <c r="O26" s="42">
        <v>2050.23</v>
      </c>
      <c r="P26" s="42">
        <v>1245.1099999999999</v>
      </c>
      <c r="Q26" s="42">
        <f t="shared" si="1"/>
        <v>14936.499999999998</v>
      </c>
      <c r="R26" s="42"/>
      <c r="S26" s="42"/>
      <c r="T26" s="42"/>
    </row>
    <row r="27" spans="1:20" x14ac:dyDescent="0.25">
      <c r="A27" s="5" t="s">
        <v>49</v>
      </c>
      <c r="B27" s="40">
        <v>145</v>
      </c>
      <c r="C27" s="42">
        <v>13912.39</v>
      </c>
      <c r="D27" s="42">
        <v>21324.75</v>
      </c>
      <c r="E27" s="42">
        <v>45158.23</v>
      </c>
      <c r="F27" s="42"/>
      <c r="G27" s="42">
        <v>3649.13</v>
      </c>
      <c r="H27" s="42">
        <v>2736.87</v>
      </c>
      <c r="I27" s="42">
        <v>456.13</v>
      </c>
      <c r="J27" s="42"/>
      <c r="K27" s="42">
        <v>3231.32</v>
      </c>
      <c r="L27" s="42">
        <v>1025.45</v>
      </c>
      <c r="M27" s="42">
        <f t="shared" si="0"/>
        <v>91494.27</v>
      </c>
      <c r="N27" s="42">
        <v>11735.74</v>
      </c>
      <c r="O27" s="42">
        <v>18574.89</v>
      </c>
      <c r="P27" s="42">
        <v>12194.43</v>
      </c>
      <c r="Q27" s="42">
        <f t="shared" si="1"/>
        <v>133999.33000000002</v>
      </c>
      <c r="R27" s="42"/>
      <c r="S27" s="42"/>
      <c r="T27" s="42"/>
    </row>
    <row r="28" spans="1:20" x14ac:dyDescent="0.25">
      <c r="A28" s="5" t="s">
        <v>50</v>
      </c>
      <c r="B28" s="40">
        <v>115</v>
      </c>
      <c r="C28" s="42">
        <v>12272.69</v>
      </c>
      <c r="D28" s="42">
        <v>10045.49</v>
      </c>
      <c r="E28" s="42">
        <v>57742.02</v>
      </c>
      <c r="F28" s="42">
        <v>7142.29</v>
      </c>
      <c r="G28" s="42">
        <v>4627.42</v>
      </c>
      <c r="H28" s="42">
        <v>2917.29</v>
      </c>
      <c r="I28" s="42"/>
      <c r="J28" s="42"/>
      <c r="K28" s="42"/>
      <c r="L28" s="42"/>
      <c r="M28" s="42">
        <f t="shared" si="0"/>
        <v>94747.199999999983</v>
      </c>
      <c r="N28" s="42">
        <v>11457.35</v>
      </c>
      <c r="O28" s="42">
        <v>19041.43</v>
      </c>
      <c r="P28" s="42">
        <v>11130.78</v>
      </c>
      <c r="Q28" s="42">
        <f t="shared" si="1"/>
        <v>136376.75999999998</v>
      </c>
      <c r="R28" s="42"/>
      <c r="S28" s="42"/>
      <c r="T28" s="42"/>
    </row>
    <row r="29" spans="1:20" x14ac:dyDescent="0.25">
      <c r="A29" s="5" t="s">
        <v>51</v>
      </c>
      <c r="B29" s="40">
        <v>79</v>
      </c>
      <c r="C29" s="42">
        <v>5272.9</v>
      </c>
      <c r="D29" s="42">
        <v>4934.1000000000004</v>
      </c>
      <c r="E29" s="42">
        <v>25757</v>
      </c>
      <c r="F29" s="42">
        <v>3629</v>
      </c>
      <c r="G29" s="42">
        <v>2593</v>
      </c>
      <c r="H29" s="42">
        <v>2721</v>
      </c>
      <c r="I29" s="42">
        <v>561</v>
      </c>
      <c r="J29" s="42"/>
      <c r="K29" s="42">
        <v>52</v>
      </c>
      <c r="L29" s="42"/>
      <c r="M29" s="42">
        <f t="shared" si="0"/>
        <v>45520</v>
      </c>
      <c r="N29" s="42">
        <v>5784</v>
      </c>
      <c r="O29" s="42">
        <v>8860</v>
      </c>
      <c r="P29" s="42">
        <v>5250.07</v>
      </c>
      <c r="Q29" s="42">
        <f t="shared" si="1"/>
        <v>65414.07</v>
      </c>
      <c r="R29" s="42"/>
      <c r="S29" s="42"/>
      <c r="T29" s="42"/>
    </row>
    <row r="30" spans="1:20" x14ac:dyDescent="0.25">
      <c r="A30" s="5" t="s">
        <v>52</v>
      </c>
      <c r="B30" s="40">
        <v>15</v>
      </c>
      <c r="C30" s="42">
        <v>1092.6300000000001</v>
      </c>
      <c r="D30" s="42">
        <v>582.13</v>
      </c>
      <c r="E30" s="42">
        <v>3627.13</v>
      </c>
      <c r="F30" s="42">
        <v>304.51</v>
      </c>
      <c r="G30" s="42">
        <v>313.45</v>
      </c>
      <c r="H30" s="42">
        <v>510.49</v>
      </c>
      <c r="I30" s="42">
        <v>143.29</v>
      </c>
      <c r="J30" s="42"/>
      <c r="K30" s="42"/>
      <c r="L30" s="42"/>
      <c r="M30" s="42">
        <f t="shared" si="0"/>
        <v>6573.63</v>
      </c>
      <c r="N30" s="42">
        <v>875.36</v>
      </c>
      <c r="O30" s="42">
        <v>1314.72</v>
      </c>
      <c r="P30" s="42">
        <v>807.38</v>
      </c>
      <c r="Q30" s="42">
        <f t="shared" si="1"/>
        <v>9571.0899999999983</v>
      </c>
      <c r="R30" s="42"/>
      <c r="S30" s="42"/>
      <c r="T30" s="42"/>
    </row>
    <row r="31" spans="1:20" x14ac:dyDescent="0.25">
      <c r="A31" s="5" t="s">
        <v>53</v>
      </c>
      <c r="B31" s="40">
        <v>24</v>
      </c>
      <c r="C31" s="42">
        <v>985.86</v>
      </c>
      <c r="D31" s="42">
        <v>1209.69</v>
      </c>
      <c r="E31" s="42">
        <v>3862.62</v>
      </c>
      <c r="F31" s="42">
        <v>404.04</v>
      </c>
      <c r="G31" s="42">
        <v>242.42</v>
      </c>
      <c r="H31" s="42">
        <v>290.91000000000003</v>
      </c>
      <c r="I31" s="42">
        <v>418.57</v>
      </c>
      <c r="J31" s="42"/>
      <c r="K31" s="42">
        <v>4.6500000000000004</v>
      </c>
      <c r="L31" s="42"/>
      <c r="M31" s="42">
        <f t="shared" si="0"/>
        <v>7418.7599999999993</v>
      </c>
      <c r="N31" s="42">
        <v>951.58</v>
      </c>
      <c r="O31" s="42">
        <v>1483.76</v>
      </c>
      <c r="P31" s="42">
        <v>957.9</v>
      </c>
      <c r="Q31" s="42">
        <f t="shared" si="1"/>
        <v>10812</v>
      </c>
      <c r="R31" s="42"/>
      <c r="S31" s="42"/>
      <c r="T31" s="42"/>
    </row>
    <row r="32" spans="1:20" x14ac:dyDescent="0.25">
      <c r="A32" s="5" t="s">
        <v>166</v>
      </c>
      <c r="B32" s="40">
        <v>17</v>
      </c>
      <c r="C32" s="42">
        <v>1157.8699999999999</v>
      </c>
      <c r="D32" s="42">
        <v>572.58000000000004</v>
      </c>
      <c r="E32" s="42">
        <v>3634.95</v>
      </c>
      <c r="F32" s="42">
        <v>768.76</v>
      </c>
      <c r="G32" s="42">
        <v>332.2</v>
      </c>
      <c r="H32" s="42">
        <v>545.73</v>
      </c>
      <c r="I32" s="42">
        <v>246.76</v>
      </c>
      <c r="J32" s="42">
        <v>550.46</v>
      </c>
      <c r="K32" s="42">
        <v>27.95</v>
      </c>
      <c r="L32" s="42"/>
      <c r="M32" s="42">
        <f t="shared" si="0"/>
        <v>7837.26</v>
      </c>
      <c r="N32" s="42">
        <v>1017.44</v>
      </c>
      <c r="O32" s="42">
        <v>1574.25</v>
      </c>
      <c r="P32" s="42">
        <v>940.14</v>
      </c>
      <c r="Q32" s="42">
        <f t="shared" si="1"/>
        <v>11369.09</v>
      </c>
      <c r="R32" s="42"/>
      <c r="S32" s="42"/>
      <c r="T32" s="42"/>
    </row>
    <row r="33" spans="1:20" x14ac:dyDescent="0.25">
      <c r="A33" s="28" t="s">
        <v>176</v>
      </c>
      <c r="B33" s="40">
        <v>92</v>
      </c>
      <c r="C33" s="42">
        <v>11688.85</v>
      </c>
      <c r="D33" s="42">
        <v>14778.25</v>
      </c>
      <c r="E33" s="42">
        <v>36838.379999999997</v>
      </c>
      <c r="F33" s="42">
        <v>6131.87</v>
      </c>
      <c r="G33" s="42">
        <v>3353.59</v>
      </c>
      <c r="H33" s="42">
        <v>862.32</v>
      </c>
      <c r="I33" s="42"/>
      <c r="J33" s="42"/>
      <c r="K33" s="42">
        <v>1272.24</v>
      </c>
      <c r="L33" s="42"/>
      <c r="M33" s="42">
        <f t="shared" si="0"/>
        <v>74925.5</v>
      </c>
      <c r="N33" s="42">
        <v>8873.07</v>
      </c>
      <c r="O33" s="42">
        <v>14635.49</v>
      </c>
      <c r="P33" s="42">
        <v>8237.84</v>
      </c>
      <c r="Q33" s="42">
        <f t="shared" si="1"/>
        <v>106671.90000000001</v>
      </c>
      <c r="R33" s="42"/>
      <c r="S33" s="42"/>
      <c r="T33" s="42"/>
    </row>
    <row r="34" spans="1:20" x14ac:dyDescent="0.25">
      <c r="A34" s="5" t="s">
        <v>55</v>
      </c>
      <c r="B34" s="40">
        <v>40</v>
      </c>
      <c r="C34" s="42">
        <v>3619.61</v>
      </c>
      <c r="D34" s="42">
        <v>4123.99</v>
      </c>
      <c r="E34" s="42">
        <v>12549.94</v>
      </c>
      <c r="F34" s="42">
        <v>2017.49</v>
      </c>
      <c r="G34" s="42"/>
      <c r="H34" s="42"/>
      <c r="I34" s="42"/>
      <c r="J34" s="42">
        <v>2254.85</v>
      </c>
      <c r="K34" s="42"/>
      <c r="L34" s="42">
        <v>58.61</v>
      </c>
      <c r="M34" s="42">
        <f t="shared" si="0"/>
        <v>24624.49</v>
      </c>
      <c r="N34" s="42">
        <v>3391.78</v>
      </c>
      <c r="O34" s="42">
        <v>5124.5200000000004</v>
      </c>
      <c r="P34" s="42">
        <v>3980.82</v>
      </c>
      <c r="Q34" s="42">
        <f t="shared" si="1"/>
        <v>37121.61</v>
      </c>
      <c r="R34" s="42"/>
      <c r="S34" s="42"/>
      <c r="T34" s="42"/>
    </row>
    <row r="35" spans="1:20" x14ac:dyDescent="0.25">
      <c r="A35" s="5" t="s">
        <v>56</v>
      </c>
      <c r="B35" s="40">
        <v>2</v>
      </c>
      <c r="C35" s="42">
        <v>22.36</v>
      </c>
      <c r="D35" s="42">
        <v>30.9</v>
      </c>
      <c r="E35" s="42">
        <v>75.73</v>
      </c>
      <c r="F35" s="42"/>
      <c r="G35" s="42">
        <v>7.34</v>
      </c>
      <c r="H35" s="42">
        <v>12.66</v>
      </c>
      <c r="I35" s="42">
        <v>9.7200000000000006</v>
      </c>
      <c r="J35" s="42">
        <v>18.14</v>
      </c>
      <c r="K35" s="42"/>
      <c r="L35" s="42"/>
      <c r="M35" s="42">
        <f t="shared" si="0"/>
        <v>176.85000000000002</v>
      </c>
      <c r="N35" s="42">
        <v>22.04</v>
      </c>
      <c r="O35" s="42">
        <v>33.369999999999997</v>
      </c>
      <c r="P35" s="42">
        <v>46.68</v>
      </c>
      <c r="Q35" s="42">
        <f t="shared" si="1"/>
        <v>278.94</v>
      </c>
      <c r="R35" s="42"/>
      <c r="S35" s="42"/>
      <c r="T35" s="42"/>
    </row>
    <row r="36" spans="1:20" x14ac:dyDescent="0.25">
      <c r="A36" s="5" t="s">
        <v>57</v>
      </c>
      <c r="B36" s="40">
        <v>48</v>
      </c>
      <c r="C36" s="42">
        <v>2626.54</v>
      </c>
      <c r="D36" s="42">
        <v>2039.31</v>
      </c>
      <c r="E36" s="42">
        <v>9777.01</v>
      </c>
      <c r="F36" s="42">
        <v>2824.27</v>
      </c>
      <c r="G36" s="42">
        <v>1738</v>
      </c>
      <c r="H36" s="42">
        <v>1477.29</v>
      </c>
      <c r="I36" s="42">
        <v>325.88</v>
      </c>
      <c r="J36" s="42">
        <v>2172.52</v>
      </c>
      <c r="K36" s="42"/>
      <c r="L36" s="42">
        <v>32.11</v>
      </c>
      <c r="M36" s="42">
        <f t="shared" si="0"/>
        <v>23012.930000000004</v>
      </c>
      <c r="N36" s="42">
        <v>3008.96</v>
      </c>
      <c r="O36" s="42">
        <v>4650.57</v>
      </c>
      <c r="P36" s="42">
        <v>2997.32</v>
      </c>
      <c r="Q36" s="42">
        <f t="shared" si="1"/>
        <v>33669.780000000006</v>
      </c>
      <c r="R36" s="42"/>
      <c r="S36" s="42"/>
      <c r="T36" s="42"/>
    </row>
    <row r="37" spans="1:20" x14ac:dyDescent="0.25">
      <c r="A37" s="5" t="s">
        <v>58</v>
      </c>
      <c r="B37" s="40">
        <v>419</v>
      </c>
      <c r="C37" s="42">
        <v>89644.13</v>
      </c>
      <c r="D37" s="42">
        <v>186338.48</v>
      </c>
      <c r="E37" s="42">
        <v>523217.16</v>
      </c>
      <c r="F37" s="42"/>
      <c r="G37" s="42">
        <v>20392.14</v>
      </c>
      <c r="H37" s="42">
        <v>2476.63</v>
      </c>
      <c r="I37" s="42">
        <v>363.69</v>
      </c>
      <c r="J37" s="42"/>
      <c r="K37" s="42"/>
      <c r="L37" s="42">
        <v>43697.54</v>
      </c>
      <c r="M37" s="42">
        <f t="shared" si="0"/>
        <v>866129.77</v>
      </c>
      <c r="N37" s="42">
        <v>97216.04</v>
      </c>
      <c r="O37" s="42">
        <v>170384.93</v>
      </c>
      <c r="P37" s="42">
        <v>91044.65</v>
      </c>
      <c r="Q37" s="42">
        <f t="shared" si="1"/>
        <v>1224775.3899999999</v>
      </c>
      <c r="R37" s="42"/>
      <c r="S37" s="42"/>
      <c r="T37" s="42"/>
    </row>
    <row r="38" spans="1:20" x14ac:dyDescent="0.25">
      <c r="A38" s="5" t="s">
        <v>59</v>
      </c>
      <c r="B38" s="40">
        <v>45</v>
      </c>
      <c r="C38" s="42">
        <v>2567.12</v>
      </c>
      <c r="D38" s="42">
        <v>3816.69</v>
      </c>
      <c r="E38" s="42">
        <v>8921.7199999999993</v>
      </c>
      <c r="F38" s="42">
        <v>1704.42</v>
      </c>
      <c r="G38" s="42">
        <v>1052.0999999999999</v>
      </c>
      <c r="H38" s="42">
        <v>925.85</v>
      </c>
      <c r="I38" s="42">
        <v>147.29</v>
      </c>
      <c r="J38" s="42">
        <v>946.9</v>
      </c>
      <c r="K38" s="42"/>
      <c r="L38" s="42">
        <v>51.34</v>
      </c>
      <c r="M38" s="42">
        <f t="shared" si="0"/>
        <v>20133.429999999997</v>
      </c>
      <c r="N38" s="42">
        <v>2571.46</v>
      </c>
      <c r="O38" s="42">
        <v>4026.64</v>
      </c>
      <c r="P38" s="42">
        <v>2643.33</v>
      </c>
      <c r="Q38" s="42">
        <f t="shared" si="1"/>
        <v>29374.859999999993</v>
      </c>
      <c r="R38" s="42"/>
      <c r="S38" s="42"/>
      <c r="T38" s="42"/>
    </row>
    <row r="39" spans="1:20" x14ac:dyDescent="0.25">
      <c r="A39" s="5" t="s">
        <v>167</v>
      </c>
      <c r="B39" s="40">
        <v>385</v>
      </c>
      <c r="C39" s="42">
        <v>28626.66</v>
      </c>
      <c r="D39" s="42">
        <v>30515.18</v>
      </c>
      <c r="E39" s="42">
        <v>139847.66</v>
      </c>
      <c r="F39" s="42">
        <v>14546.82</v>
      </c>
      <c r="G39" s="42">
        <v>14078.64</v>
      </c>
      <c r="H39" s="42">
        <v>6100.72</v>
      </c>
      <c r="I39" s="42">
        <v>2815.79</v>
      </c>
      <c r="J39" s="42"/>
      <c r="K39" s="42">
        <v>18692.740000000002</v>
      </c>
      <c r="L39" s="42"/>
      <c r="M39" s="42">
        <f t="shared" si="0"/>
        <v>255224.21000000002</v>
      </c>
      <c r="N39" s="42">
        <v>29989.19</v>
      </c>
      <c r="O39" s="42">
        <v>50967.839999999997</v>
      </c>
      <c r="P39" s="42">
        <v>41653.919999999998</v>
      </c>
      <c r="Q39" s="42">
        <f t="shared" si="1"/>
        <v>377835.16</v>
      </c>
      <c r="R39" s="42"/>
      <c r="S39" s="42"/>
      <c r="T39" s="42"/>
    </row>
    <row r="40" spans="1:20" x14ac:dyDescent="0.25">
      <c r="A40" s="5" t="s">
        <v>60</v>
      </c>
      <c r="B40" s="40">
        <v>154</v>
      </c>
      <c r="C40" s="42">
        <v>25855.86</v>
      </c>
      <c r="D40" s="42">
        <v>37646.42</v>
      </c>
      <c r="E40" s="42">
        <v>122613.12</v>
      </c>
      <c r="F40" s="42">
        <v>17802.419999999998</v>
      </c>
      <c r="G40" s="42">
        <v>12186.16</v>
      </c>
      <c r="H40" s="42">
        <v>2967.06</v>
      </c>
      <c r="I40" s="42">
        <v>1907.42</v>
      </c>
      <c r="J40" s="42"/>
      <c r="K40" s="42"/>
      <c r="L40" s="42"/>
      <c r="M40" s="42">
        <f t="shared" si="0"/>
        <v>220978.46000000002</v>
      </c>
      <c r="N40" s="42">
        <v>26799.5</v>
      </c>
      <c r="O40" s="42">
        <v>44349.73</v>
      </c>
      <c r="P40" s="42">
        <v>24330.6</v>
      </c>
      <c r="Q40" s="42">
        <f t="shared" si="1"/>
        <v>316458.28999999998</v>
      </c>
      <c r="R40" s="42"/>
      <c r="S40" s="42"/>
      <c r="T40" s="42"/>
    </row>
    <row r="41" spans="1:20" x14ac:dyDescent="0.25">
      <c r="A41" s="5" t="s">
        <v>61</v>
      </c>
      <c r="B41" s="40">
        <v>0</v>
      </c>
      <c r="C41" s="42"/>
      <c r="D41" s="42"/>
      <c r="E41" s="42"/>
      <c r="F41" s="42"/>
      <c r="G41" s="42"/>
      <c r="H41" s="42"/>
      <c r="I41" s="42"/>
      <c r="J41" s="42"/>
      <c r="K41" s="42"/>
      <c r="L41" s="42"/>
      <c r="M41" s="42">
        <f t="shared" si="0"/>
        <v>0</v>
      </c>
      <c r="N41" s="42"/>
      <c r="O41" s="42"/>
      <c r="P41" s="42"/>
      <c r="Q41" s="42">
        <f t="shared" si="1"/>
        <v>0</v>
      </c>
      <c r="R41" s="42"/>
      <c r="S41" s="42"/>
      <c r="T41" s="42"/>
    </row>
    <row r="42" spans="1:20" x14ac:dyDescent="0.25">
      <c r="A42" s="5" t="s">
        <v>62</v>
      </c>
      <c r="B42" s="40">
        <v>11</v>
      </c>
      <c r="C42" s="42">
        <v>1469.95</v>
      </c>
      <c r="D42" s="42">
        <v>1149.33</v>
      </c>
      <c r="E42" s="42">
        <v>7988.29</v>
      </c>
      <c r="F42" s="42">
        <v>1397.66</v>
      </c>
      <c r="G42" s="42">
        <v>662.7</v>
      </c>
      <c r="H42" s="42">
        <v>674.74</v>
      </c>
      <c r="I42" s="42">
        <v>108.44</v>
      </c>
      <c r="J42" s="42">
        <v>0</v>
      </c>
      <c r="K42" s="42">
        <v>259.39</v>
      </c>
      <c r="L42" s="42">
        <v>0</v>
      </c>
      <c r="M42" s="42">
        <f t="shared" si="0"/>
        <v>13710.5</v>
      </c>
      <c r="N42" s="42">
        <v>1830.85</v>
      </c>
      <c r="O42" s="42">
        <v>2748.7</v>
      </c>
      <c r="P42" s="42">
        <v>1528.37</v>
      </c>
      <c r="Q42" s="42">
        <f t="shared" si="1"/>
        <v>19818.419999999998</v>
      </c>
      <c r="R42" s="42"/>
      <c r="S42" s="42"/>
      <c r="T42" s="42"/>
    </row>
    <row r="43" spans="1:20" x14ac:dyDescent="0.25">
      <c r="A43" s="5" t="s">
        <v>63</v>
      </c>
      <c r="B43" s="40">
        <v>47</v>
      </c>
      <c r="C43" s="42">
        <v>3834.32</v>
      </c>
      <c r="D43" s="42">
        <v>3125.3</v>
      </c>
      <c r="E43" s="42">
        <v>20114.400000000001</v>
      </c>
      <c r="F43" s="42">
        <v>2105.71</v>
      </c>
      <c r="G43" s="42">
        <v>1257.1500000000001</v>
      </c>
      <c r="H43" s="42">
        <v>1162.8699999999999</v>
      </c>
      <c r="I43" s="42">
        <v>260.89</v>
      </c>
      <c r="J43" s="42"/>
      <c r="K43" s="42">
        <v>1770.78</v>
      </c>
      <c r="L43" s="42">
        <v>6499.17</v>
      </c>
      <c r="M43" s="42">
        <f t="shared" si="0"/>
        <v>40130.590000000004</v>
      </c>
      <c r="N43" s="42">
        <v>5059.13</v>
      </c>
      <c r="O43" s="42">
        <v>7997.89</v>
      </c>
      <c r="P43" s="42">
        <v>4656.92</v>
      </c>
      <c r="Q43" s="42">
        <f t="shared" si="1"/>
        <v>57844.53</v>
      </c>
      <c r="R43" s="42"/>
      <c r="S43" s="42"/>
      <c r="T43" s="42"/>
    </row>
    <row r="44" spans="1:20" x14ac:dyDescent="0.25">
      <c r="A44" s="5" t="s">
        <v>64</v>
      </c>
      <c r="B44" s="40">
        <v>71</v>
      </c>
      <c r="C44" s="42">
        <v>6876.57</v>
      </c>
      <c r="D44" s="42">
        <v>8782.64</v>
      </c>
      <c r="E44" s="42">
        <v>36896.89</v>
      </c>
      <c r="F44" s="42">
        <v>5129.26</v>
      </c>
      <c r="G44" s="42">
        <v>1578.24</v>
      </c>
      <c r="H44" s="42">
        <v>2761.91</v>
      </c>
      <c r="I44" s="42">
        <v>614.47</v>
      </c>
      <c r="J44" s="42"/>
      <c r="K44" s="42">
        <v>1481.92</v>
      </c>
      <c r="L44" s="42">
        <v>910.92</v>
      </c>
      <c r="M44" s="42">
        <f t="shared" si="0"/>
        <v>65032.819999999992</v>
      </c>
      <c r="N44" s="42">
        <v>8092.66</v>
      </c>
      <c r="O44" s="42">
        <v>13049.17</v>
      </c>
      <c r="P44" s="42">
        <v>7518.61</v>
      </c>
      <c r="Q44" s="42">
        <f t="shared" si="1"/>
        <v>93693.26</v>
      </c>
      <c r="R44" s="42"/>
      <c r="S44" s="42"/>
      <c r="T44" s="42"/>
    </row>
    <row r="45" spans="1:20" x14ac:dyDescent="0.25">
      <c r="A45" s="5" t="s">
        <v>65</v>
      </c>
      <c r="B45" s="40">
        <v>112</v>
      </c>
      <c r="C45" s="42">
        <v>7518.97</v>
      </c>
      <c r="D45" s="42">
        <v>6515.66</v>
      </c>
      <c r="E45" s="42">
        <v>17593.09</v>
      </c>
      <c r="F45" s="42">
        <v>3389.7</v>
      </c>
      <c r="G45" s="42">
        <v>2157.09</v>
      </c>
      <c r="H45" s="42"/>
      <c r="I45" s="42"/>
      <c r="J45" s="42"/>
      <c r="K45" s="42">
        <v>3061.76</v>
      </c>
      <c r="L45" s="42">
        <v>1902.38</v>
      </c>
      <c r="M45" s="42">
        <f t="shared" si="0"/>
        <v>42138.649999999994</v>
      </c>
      <c r="N45" s="42">
        <v>5405.22</v>
      </c>
      <c r="O45" s="42">
        <v>8494.98</v>
      </c>
      <c r="P45" s="42">
        <v>5815.44</v>
      </c>
      <c r="Q45" s="42">
        <f t="shared" si="1"/>
        <v>61854.289999999994</v>
      </c>
      <c r="R45" s="42"/>
      <c r="S45" s="42"/>
      <c r="T45" s="42"/>
    </row>
    <row r="46" spans="1:20" x14ac:dyDescent="0.25">
      <c r="A46" s="5" t="s">
        <v>66</v>
      </c>
      <c r="B46" s="40">
        <v>104</v>
      </c>
      <c r="C46" s="42">
        <v>8723.7800000000007</v>
      </c>
      <c r="D46" s="42">
        <v>5199.07</v>
      </c>
      <c r="E46" s="42">
        <v>33905.839999999997</v>
      </c>
      <c r="F46" s="42">
        <v>5499.51</v>
      </c>
      <c r="G46" s="42">
        <v>1856.08</v>
      </c>
      <c r="H46" s="42">
        <v>2571.3000000000002</v>
      </c>
      <c r="I46" s="42"/>
      <c r="J46" s="42"/>
      <c r="K46" s="42"/>
      <c r="L46" s="42">
        <v>3569.04</v>
      </c>
      <c r="M46" s="42">
        <f t="shared" si="0"/>
        <v>61324.62</v>
      </c>
      <c r="N46" s="42">
        <v>8043.96</v>
      </c>
      <c r="O46" s="42">
        <v>12384.67</v>
      </c>
      <c r="P46" s="42">
        <v>7650.92</v>
      </c>
      <c r="Q46" s="42">
        <f t="shared" si="1"/>
        <v>89404.17</v>
      </c>
      <c r="R46" s="42"/>
      <c r="S46" s="42"/>
      <c r="T46" s="42"/>
    </row>
    <row r="47" spans="1:20" x14ac:dyDescent="0.25">
      <c r="A47" s="5" t="s">
        <v>67</v>
      </c>
      <c r="B47" s="40">
        <v>17</v>
      </c>
      <c r="C47" s="42">
        <v>713.94</v>
      </c>
      <c r="D47" s="42">
        <v>711.14</v>
      </c>
      <c r="E47" s="42">
        <v>2838.24</v>
      </c>
      <c r="F47" s="42">
        <v>485.71</v>
      </c>
      <c r="G47" s="42">
        <v>198.96</v>
      </c>
      <c r="H47" s="42">
        <v>280.89999999999998</v>
      </c>
      <c r="I47" s="42"/>
      <c r="J47" s="42">
        <v>585.20000000000005</v>
      </c>
      <c r="K47" s="42"/>
      <c r="L47" s="42">
        <v>1.1200000000000001</v>
      </c>
      <c r="M47" s="42">
        <f t="shared" si="0"/>
        <v>5815.2099999999991</v>
      </c>
      <c r="N47" s="42">
        <v>764.38</v>
      </c>
      <c r="O47" s="42">
        <v>1180.01</v>
      </c>
      <c r="P47" s="42">
        <v>828.05</v>
      </c>
      <c r="Q47" s="42">
        <f t="shared" si="1"/>
        <v>8587.65</v>
      </c>
      <c r="R47" s="42"/>
      <c r="S47" s="42"/>
      <c r="T47" s="42"/>
    </row>
    <row r="48" spans="1:20" x14ac:dyDescent="0.25">
      <c r="A48" s="5" t="s">
        <v>68</v>
      </c>
      <c r="B48" s="40">
        <v>195</v>
      </c>
      <c r="C48" s="42">
        <v>16779.72</v>
      </c>
      <c r="D48" s="42">
        <v>38615.480000000003</v>
      </c>
      <c r="E48" s="42">
        <v>110620.05</v>
      </c>
      <c r="F48" s="42">
        <v>13066.24</v>
      </c>
      <c r="G48" s="42">
        <v>8252.34</v>
      </c>
      <c r="H48" s="42">
        <v>2998.38</v>
      </c>
      <c r="I48" s="42"/>
      <c r="J48" s="42">
        <v>8892.64</v>
      </c>
      <c r="K48" s="42">
        <v>5088.63</v>
      </c>
      <c r="L48" s="42">
        <v>2494.6999999999998</v>
      </c>
      <c r="M48" s="42">
        <f t="shared" si="0"/>
        <v>206808.18</v>
      </c>
      <c r="N48" s="42">
        <v>25605.83</v>
      </c>
      <c r="O48" s="42">
        <v>41400.639999999999</v>
      </c>
      <c r="P48" s="42">
        <v>23430.37</v>
      </c>
      <c r="Q48" s="42">
        <f t="shared" si="1"/>
        <v>297245.02</v>
      </c>
      <c r="R48" s="42"/>
      <c r="S48" s="42"/>
      <c r="T48" s="42"/>
    </row>
    <row r="49" spans="1:20" x14ac:dyDescent="0.25">
      <c r="A49" s="5" t="s">
        <v>69</v>
      </c>
      <c r="B49" s="40">
        <v>2</v>
      </c>
      <c r="C49" s="42">
        <v>68.760000000000005</v>
      </c>
      <c r="D49" s="42">
        <v>63.56</v>
      </c>
      <c r="E49" s="42">
        <v>327.47000000000003</v>
      </c>
      <c r="F49" s="42">
        <v>64.819999999999993</v>
      </c>
      <c r="G49" s="42">
        <v>15.5</v>
      </c>
      <c r="H49" s="42"/>
      <c r="I49" s="42"/>
      <c r="J49" s="42"/>
      <c r="K49" s="42"/>
      <c r="L49" s="42">
        <v>1.27</v>
      </c>
      <c r="M49" s="42">
        <f t="shared" si="0"/>
        <v>541.38</v>
      </c>
      <c r="N49" s="42">
        <v>59.56</v>
      </c>
      <c r="O49" s="42">
        <v>101.87</v>
      </c>
      <c r="P49" s="42">
        <v>80.94</v>
      </c>
      <c r="Q49" s="42">
        <f t="shared" si="1"/>
        <v>783.75</v>
      </c>
      <c r="R49" s="42"/>
      <c r="S49" s="42"/>
      <c r="T49" s="42"/>
    </row>
    <row r="50" spans="1:20" x14ac:dyDescent="0.25">
      <c r="A50" s="5" t="s">
        <v>70</v>
      </c>
      <c r="B50" s="40">
        <v>206</v>
      </c>
      <c r="C50" s="42">
        <v>19835.97</v>
      </c>
      <c r="D50" s="42">
        <v>22666.41</v>
      </c>
      <c r="E50" s="42">
        <v>103535.35</v>
      </c>
      <c r="F50" s="42"/>
      <c r="G50" s="42">
        <v>3577.03</v>
      </c>
      <c r="H50" s="42">
        <v>1951.13</v>
      </c>
      <c r="I50" s="42">
        <v>244.16</v>
      </c>
      <c r="J50" s="42"/>
      <c r="K50" s="42">
        <v>2852.76</v>
      </c>
      <c r="L50" s="42">
        <v>2480.7199999999998</v>
      </c>
      <c r="M50" s="42">
        <f t="shared" si="0"/>
        <v>157143.53000000003</v>
      </c>
      <c r="N50" s="42">
        <v>17508.689999999999</v>
      </c>
      <c r="O50" s="42">
        <v>30851.91</v>
      </c>
      <c r="P50" s="42">
        <v>18310.04</v>
      </c>
      <c r="Q50" s="42">
        <f t="shared" si="1"/>
        <v>223814.17000000004</v>
      </c>
      <c r="R50" s="42"/>
      <c r="S50" s="42"/>
      <c r="T50" s="42"/>
    </row>
    <row r="51" spans="1:20" x14ac:dyDescent="0.25">
      <c r="A51" s="5" t="s">
        <v>71</v>
      </c>
      <c r="B51" s="40">
        <v>37</v>
      </c>
      <c r="C51" s="42">
        <v>2933.54</v>
      </c>
      <c r="D51" s="42">
        <v>8115.67</v>
      </c>
      <c r="E51" s="42">
        <v>6252.7</v>
      </c>
      <c r="F51" s="42">
        <v>1659.13</v>
      </c>
      <c r="G51" s="42">
        <v>961.81</v>
      </c>
      <c r="H51" s="42">
        <v>1827.48</v>
      </c>
      <c r="I51" s="42">
        <v>240.46</v>
      </c>
      <c r="J51" s="42"/>
      <c r="K51" s="42"/>
      <c r="L51" s="42">
        <v>339.13</v>
      </c>
      <c r="M51" s="42">
        <f t="shared" si="0"/>
        <v>22329.920000000002</v>
      </c>
      <c r="N51" s="42">
        <v>2995.43</v>
      </c>
      <c r="O51" s="42">
        <v>4503.0200000000004</v>
      </c>
      <c r="P51" s="42">
        <v>3158.02</v>
      </c>
      <c r="Q51" s="42">
        <f t="shared" si="1"/>
        <v>32986.39</v>
      </c>
      <c r="R51" s="42"/>
      <c r="S51" s="42"/>
      <c r="T51" s="42"/>
    </row>
    <row r="52" spans="1:20" x14ac:dyDescent="0.25">
      <c r="A52" s="5" t="s">
        <v>72</v>
      </c>
      <c r="B52" s="40">
        <v>43</v>
      </c>
      <c r="C52" s="42">
        <v>3649.3</v>
      </c>
      <c r="D52" s="42">
        <v>3395.05</v>
      </c>
      <c r="E52" s="42">
        <v>14118.54</v>
      </c>
      <c r="F52" s="42">
        <v>2093.86</v>
      </c>
      <c r="G52" s="42">
        <v>1420.86</v>
      </c>
      <c r="H52" s="42">
        <v>1495.6</v>
      </c>
      <c r="I52" s="42">
        <v>329.02</v>
      </c>
      <c r="J52" s="42"/>
      <c r="K52" s="42">
        <v>1643.63</v>
      </c>
      <c r="L52" s="42"/>
      <c r="M52" s="42">
        <f t="shared" si="0"/>
        <v>28145.86</v>
      </c>
      <c r="N52" s="42">
        <v>3465.23</v>
      </c>
      <c r="O52" s="42">
        <v>5646.37</v>
      </c>
      <c r="P52" s="42">
        <v>3425.24</v>
      </c>
      <c r="Q52" s="42">
        <f t="shared" si="1"/>
        <v>40682.699999999997</v>
      </c>
      <c r="R52" s="42"/>
      <c r="S52" s="42"/>
      <c r="T52" s="42"/>
    </row>
    <row r="53" spans="1:20" x14ac:dyDescent="0.25">
      <c r="A53" s="5" t="s">
        <v>73</v>
      </c>
      <c r="B53" s="40">
        <v>53</v>
      </c>
      <c r="C53" s="42">
        <v>4817.75</v>
      </c>
      <c r="D53" s="42">
        <v>4733.96</v>
      </c>
      <c r="E53" s="42">
        <v>22862.78</v>
      </c>
      <c r="F53" s="42">
        <v>2329.88</v>
      </c>
      <c r="G53" s="42"/>
      <c r="H53" s="42"/>
      <c r="I53" s="42"/>
      <c r="J53" s="42">
        <v>2922.24</v>
      </c>
      <c r="K53" s="42">
        <v>1734.25</v>
      </c>
      <c r="L53" s="42"/>
      <c r="M53" s="42">
        <f t="shared" si="0"/>
        <v>39400.859999999993</v>
      </c>
      <c r="N53" s="42">
        <v>4862.3900000000003</v>
      </c>
      <c r="O53" s="42">
        <v>7823.53</v>
      </c>
      <c r="P53" s="42">
        <v>4680.3100000000004</v>
      </c>
      <c r="Q53" s="42">
        <f t="shared" si="1"/>
        <v>56767.089999999989</v>
      </c>
      <c r="R53" s="42"/>
      <c r="S53" s="42"/>
      <c r="T53" s="42"/>
    </row>
    <row r="54" spans="1:20" x14ac:dyDescent="0.25">
      <c r="A54" s="5" t="s">
        <v>74</v>
      </c>
      <c r="B54" s="40">
        <v>76</v>
      </c>
      <c r="C54" s="42">
        <v>6045.1</v>
      </c>
      <c r="D54" s="42">
        <v>6384.13</v>
      </c>
      <c r="E54" s="42">
        <v>26261.63</v>
      </c>
      <c r="F54" s="42">
        <v>4112.66</v>
      </c>
      <c r="G54" s="42">
        <v>1288.3</v>
      </c>
      <c r="H54" s="42">
        <v>1337.85</v>
      </c>
      <c r="I54" s="42"/>
      <c r="J54" s="42"/>
      <c r="K54" s="42"/>
      <c r="L54" s="42">
        <v>39.549999999999997</v>
      </c>
      <c r="M54" s="42">
        <f t="shared" si="0"/>
        <v>45469.220000000008</v>
      </c>
      <c r="N54" s="42">
        <v>5443.92</v>
      </c>
      <c r="O54" s="42">
        <v>9139.44</v>
      </c>
      <c r="P54" s="42">
        <v>5633.76</v>
      </c>
      <c r="Q54" s="42">
        <f t="shared" si="1"/>
        <v>65686.340000000011</v>
      </c>
      <c r="R54" s="42"/>
      <c r="S54" s="42"/>
      <c r="T54" s="42"/>
    </row>
    <row r="55" spans="1:20" x14ac:dyDescent="0.25">
      <c r="A55" s="5" t="s">
        <v>75</v>
      </c>
      <c r="B55" s="40">
        <v>71</v>
      </c>
      <c r="C55" s="42">
        <v>5264.66</v>
      </c>
      <c r="D55" s="42">
        <v>5616.92</v>
      </c>
      <c r="E55" s="42">
        <v>30287.38</v>
      </c>
      <c r="F55" s="42">
        <v>3711.15</v>
      </c>
      <c r="G55" s="42">
        <v>1726.11</v>
      </c>
      <c r="H55" s="42">
        <v>2028.16</v>
      </c>
      <c r="I55" s="42">
        <v>302.06</v>
      </c>
      <c r="J55" s="42"/>
      <c r="K55" s="42">
        <v>2207.31</v>
      </c>
      <c r="L55" s="42">
        <v>212.84</v>
      </c>
      <c r="M55" s="42">
        <f t="shared" si="0"/>
        <v>51356.59</v>
      </c>
      <c r="N55" s="42">
        <v>6492.8</v>
      </c>
      <c r="O55" s="42">
        <v>10441.74</v>
      </c>
      <c r="P55" s="42">
        <v>6356.83</v>
      </c>
      <c r="Q55" s="42">
        <f t="shared" si="1"/>
        <v>74647.960000000006</v>
      </c>
      <c r="R55" s="42"/>
      <c r="S55" s="42"/>
      <c r="T55" s="42"/>
    </row>
    <row r="56" spans="1:20" x14ac:dyDescent="0.25">
      <c r="A56" s="5" t="s">
        <v>76</v>
      </c>
      <c r="B56" s="40">
        <v>19</v>
      </c>
      <c r="C56" s="42">
        <v>634.5</v>
      </c>
      <c r="D56" s="42">
        <v>999.51</v>
      </c>
      <c r="E56" s="42">
        <v>2881.24</v>
      </c>
      <c r="F56" s="42"/>
      <c r="G56" s="42">
        <v>166.42</v>
      </c>
      <c r="H56" s="42">
        <v>280.85000000000002</v>
      </c>
      <c r="I56" s="42">
        <v>67.63</v>
      </c>
      <c r="J56" s="42"/>
      <c r="K56" s="42">
        <v>355.92</v>
      </c>
      <c r="L56" s="42">
        <v>125.27</v>
      </c>
      <c r="M56" s="42">
        <f t="shared" si="0"/>
        <v>5511.3400000000011</v>
      </c>
      <c r="N56" s="42">
        <v>697.1</v>
      </c>
      <c r="O56" s="42">
        <v>1104.93</v>
      </c>
      <c r="P56" s="42">
        <v>815.24</v>
      </c>
      <c r="Q56" s="42">
        <f t="shared" si="1"/>
        <v>8128.6100000000015</v>
      </c>
      <c r="R56" s="42"/>
      <c r="S56" s="42"/>
      <c r="T56" s="42"/>
    </row>
    <row r="57" spans="1:20" x14ac:dyDescent="0.25">
      <c r="A57" s="5" t="s">
        <v>158</v>
      </c>
      <c r="B57" s="40">
        <v>65</v>
      </c>
      <c r="C57" s="42">
        <v>6962</v>
      </c>
      <c r="D57" s="42">
        <v>10492.42</v>
      </c>
      <c r="E57" s="42">
        <v>35610.559999999998</v>
      </c>
      <c r="F57" s="42"/>
      <c r="G57" s="42">
        <v>2225.61</v>
      </c>
      <c r="H57" s="42">
        <v>1084.3</v>
      </c>
      <c r="I57" s="42"/>
      <c r="J57" s="42"/>
      <c r="K57" s="42">
        <v>702.25</v>
      </c>
      <c r="L57" s="42"/>
      <c r="M57" s="42">
        <f t="shared" si="0"/>
        <v>57077.14</v>
      </c>
      <c r="N57" s="42">
        <v>6427.08</v>
      </c>
      <c r="O57" s="42">
        <v>11090.47</v>
      </c>
      <c r="P57" s="42">
        <v>6130.23</v>
      </c>
      <c r="Q57" s="42">
        <f t="shared" si="1"/>
        <v>80724.92</v>
      </c>
      <c r="R57" s="42"/>
      <c r="S57" s="42"/>
      <c r="T57" s="42"/>
    </row>
    <row r="58" spans="1:20" x14ac:dyDescent="0.25">
      <c r="A58" s="5" t="s">
        <v>77</v>
      </c>
      <c r="B58" s="40">
        <v>34</v>
      </c>
      <c r="C58" s="42">
        <v>2101.19</v>
      </c>
      <c r="D58" s="42">
        <v>1358.39</v>
      </c>
      <c r="E58" s="42">
        <v>10437.06</v>
      </c>
      <c r="F58" s="42">
        <v>2066.75</v>
      </c>
      <c r="G58" s="42">
        <v>1033.3699999999999</v>
      </c>
      <c r="H58" s="42">
        <v>1171.1500000000001</v>
      </c>
      <c r="I58" s="42">
        <v>465.01</v>
      </c>
      <c r="J58" s="42">
        <v>1050.58</v>
      </c>
      <c r="K58" s="42">
        <v>3.24</v>
      </c>
      <c r="L58" s="42">
        <v>29.07</v>
      </c>
      <c r="M58" s="42">
        <f t="shared" si="0"/>
        <v>19715.810000000001</v>
      </c>
      <c r="N58" s="42">
        <v>2610.25</v>
      </c>
      <c r="O58" s="42">
        <v>3977.13</v>
      </c>
      <c r="P58" s="42">
        <v>3218.57</v>
      </c>
      <c r="Q58" s="42">
        <f t="shared" si="1"/>
        <v>29521.760000000002</v>
      </c>
      <c r="R58" s="42"/>
      <c r="S58" s="42"/>
      <c r="T58" s="42"/>
    </row>
    <row r="59" spans="1:20" x14ac:dyDescent="0.25">
      <c r="A59" s="28" t="s">
        <v>177</v>
      </c>
      <c r="B59" s="40">
        <v>1674</v>
      </c>
      <c r="C59" s="42">
        <v>238029.5</v>
      </c>
      <c r="D59" s="42">
        <v>336706.58</v>
      </c>
      <c r="E59" s="42">
        <v>1379196.66</v>
      </c>
      <c r="F59" s="42"/>
      <c r="G59" s="42"/>
      <c r="H59" s="42"/>
      <c r="I59" s="42"/>
      <c r="J59" s="42"/>
      <c r="K59" s="42">
        <v>117516.65</v>
      </c>
      <c r="L59" s="42">
        <v>315553.59999999998</v>
      </c>
      <c r="M59" s="42">
        <f t="shared" si="0"/>
        <v>2387002.9899999998</v>
      </c>
      <c r="N59" s="42">
        <v>272332.79999999999</v>
      </c>
      <c r="O59" s="42">
        <v>461330.1</v>
      </c>
      <c r="P59" s="42">
        <v>300973.27</v>
      </c>
      <c r="Q59" s="42">
        <f t="shared" si="1"/>
        <v>3421639.1599999997</v>
      </c>
      <c r="R59" s="42"/>
      <c r="S59" s="42"/>
      <c r="T59" s="42"/>
    </row>
    <row r="60" spans="1:20" x14ac:dyDescent="0.25">
      <c r="A60" s="5" t="s">
        <v>79</v>
      </c>
      <c r="B60" s="40">
        <v>89</v>
      </c>
      <c r="C60" s="42">
        <v>19012.34</v>
      </c>
      <c r="D60" s="42">
        <v>10774.7</v>
      </c>
      <c r="E60" s="42">
        <v>102853.78</v>
      </c>
      <c r="F60" s="42">
        <v>15272.25</v>
      </c>
      <c r="G60" s="42">
        <v>4675.18</v>
      </c>
      <c r="H60" s="42">
        <v>2649.28</v>
      </c>
      <c r="I60" s="42"/>
      <c r="J60" s="42"/>
      <c r="K60" s="42">
        <v>5302.06</v>
      </c>
      <c r="L60" s="42"/>
      <c r="M60" s="42">
        <f t="shared" si="0"/>
        <v>160539.59</v>
      </c>
      <c r="N60" s="42">
        <v>18604.64</v>
      </c>
      <c r="O60" s="42">
        <v>32036.7</v>
      </c>
      <c r="P60" s="42">
        <v>17308.830000000002</v>
      </c>
      <c r="Q60" s="42">
        <f t="shared" si="1"/>
        <v>228489.76</v>
      </c>
      <c r="R60" s="42"/>
      <c r="S60" s="42"/>
      <c r="T60" s="42"/>
    </row>
    <row r="61" spans="1:20" x14ac:dyDescent="0.25">
      <c r="A61" s="5" t="s">
        <v>80</v>
      </c>
      <c r="B61" s="40">
        <v>68</v>
      </c>
      <c r="C61" s="42">
        <v>6585.38</v>
      </c>
      <c r="D61" s="42">
        <v>5054.9399999999996</v>
      </c>
      <c r="E61" s="42">
        <v>15409.97</v>
      </c>
      <c r="F61" s="42">
        <v>4588.17</v>
      </c>
      <c r="G61" s="42">
        <v>2159.14</v>
      </c>
      <c r="H61" s="42">
        <v>1618.76</v>
      </c>
      <c r="I61" s="42">
        <v>377.88</v>
      </c>
      <c r="J61" s="42"/>
      <c r="K61" s="42">
        <v>1287.25</v>
      </c>
      <c r="L61" s="42"/>
      <c r="M61" s="42">
        <f t="shared" si="0"/>
        <v>37081.49</v>
      </c>
      <c r="N61" s="42">
        <v>4669.51</v>
      </c>
      <c r="O61" s="42">
        <v>7286.33</v>
      </c>
      <c r="P61" s="42">
        <v>4673.17</v>
      </c>
      <c r="Q61" s="42">
        <f t="shared" si="1"/>
        <v>53710.5</v>
      </c>
      <c r="R61" s="42"/>
      <c r="S61" s="42"/>
      <c r="T61" s="42"/>
    </row>
    <row r="62" spans="1:20" x14ac:dyDescent="0.25">
      <c r="A62" s="5" t="s">
        <v>81</v>
      </c>
      <c r="B62" s="40">
        <v>488</v>
      </c>
      <c r="C62" s="42">
        <v>56335.99</v>
      </c>
      <c r="D62" s="42">
        <v>75174.009999999995</v>
      </c>
      <c r="E62" s="42">
        <v>399546.65</v>
      </c>
      <c r="F62" s="42">
        <v>52180.26</v>
      </c>
      <c r="G62" s="42">
        <v>9235.41</v>
      </c>
      <c r="H62" s="42">
        <v>4156.12</v>
      </c>
      <c r="I62" s="42"/>
      <c r="J62" s="42"/>
      <c r="K62" s="42">
        <v>18836.45</v>
      </c>
      <c r="L62" s="42">
        <v>13543.97</v>
      </c>
      <c r="M62" s="42">
        <f t="shared" si="0"/>
        <v>629008.86</v>
      </c>
      <c r="N62" s="42">
        <v>74188.94</v>
      </c>
      <c r="O62" s="42">
        <v>125411.3</v>
      </c>
      <c r="P62" s="42">
        <v>83202.05</v>
      </c>
      <c r="Q62" s="42">
        <f t="shared" si="1"/>
        <v>911811.15000000014</v>
      </c>
      <c r="R62" s="42"/>
      <c r="S62" s="42"/>
      <c r="T62" s="42"/>
    </row>
    <row r="63" spans="1:20" x14ac:dyDescent="0.25">
      <c r="A63" s="5" t="s">
        <v>82</v>
      </c>
      <c r="B63" s="40">
        <v>85</v>
      </c>
      <c r="C63" s="42">
        <v>3749.25</v>
      </c>
      <c r="D63" s="42">
        <v>6036.44</v>
      </c>
      <c r="E63" s="42">
        <v>18746.2</v>
      </c>
      <c r="F63" s="42"/>
      <c r="G63" s="42">
        <v>1075.6199999999999</v>
      </c>
      <c r="H63" s="42">
        <v>2059.02</v>
      </c>
      <c r="I63" s="42">
        <v>460.98</v>
      </c>
      <c r="J63" s="42"/>
      <c r="K63" s="42"/>
      <c r="L63" s="42">
        <v>45.04</v>
      </c>
      <c r="M63" s="42">
        <f t="shared" si="0"/>
        <v>32172.55</v>
      </c>
      <c r="N63" s="42">
        <v>4131.5600000000004</v>
      </c>
      <c r="O63" s="42">
        <v>6247.56</v>
      </c>
      <c r="P63" s="42">
        <v>4398.75</v>
      </c>
      <c r="Q63" s="42">
        <f t="shared" si="1"/>
        <v>46950.42</v>
      </c>
      <c r="R63" s="42"/>
      <c r="S63" s="42"/>
      <c r="T63" s="42"/>
    </row>
    <row r="64" spans="1:20" x14ac:dyDescent="0.25">
      <c r="A64" s="5" t="s">
        <v>83</v>
      </c>
      <c r="B64" s="40">
        <v>102</v>
      </c>
      <c r="C64" s="42">
        <v>6223.58</v>
      </c>
      <c r="D64" s="42">
        <v>6070.39</v>
      </c>
      <c r="E64" s="42">
        <v>22700.66</v>
      </c>
      <c r="F64" s="42">
        <v>2193.58</v>
      </c>
      <c r="G64" s="42">
        <v>1275.32</v>
      </c>
      <c r="H64" s="42">
        <v>1785.44</v>
      </c>
      <c r="I64" s="42">
        <v>918.24</v>
      </c>
      <c r="J64" s="42">
        <v>612.16</v>
      </c>
      <c r="K64" s="42">
        <v>153.13999999999999</v>
      </c>
      <c r="L64" s="42">
        <v>3608.85</v>
      </c>
      <c r="M64" s="42">
        <f t="shared" si="0"/>
        <v>45541.360000000008</v>
      </c>
      <c r="N64" s="42">
        <v>5946.56</v>
      </c>
      <c r="O64" s="42">
        <v>9210.2800000000007</v>
      </c>
      <c r="P64" s="42">
        <v>6033.13</v>
      </c>
      <c r="Q64" s="42">
        <f t="shared" si="1"/>
        <v>66731.33</v>
      </c>
      <c r="R64" s="42"/>
      <c r="S64" s="42"/>
      <c r="T64" s="42"/>
    </row>
    <row r="65" spans="1:20" x14ac:dyDescent="0.25">
      <c r="A65" s="5" t="s">
        <v>84</v>
      </c>
      <c r="B65" s="40">
        <v>24</v>
      </c>
      <c r="C65" s="42">
        <v>2329.16</v>
      </c>
      <c r="D65" s="42">
        <v>3756.97</v>
      </c>
      <c r="E65" s="42">
        <v>8666.85</v>
      </c>
      <c r="F65" s="42">
        <v>1125.05</v>
      </c>
      <c r="G65" s="42">
        <v>534.57000000000005</v>
      </c>
      <c r="H65" s="42">
        <v>801.84</v>
      </c>
      <c r="I65" s="42"/>
      <c r="J65" s="42"/>
      <c r="K65" s="42">
        <v>730.03</v>
      </c>
      <c r="L65" s="42"/>
      <c r="M65" s="42">
        <f t="shared" si="0"/>
        <v>17944.469999999998</v>
      </c>
      <c r="N65" s="42">
        <v>2364.12</v>
      </c>
      <c r="O65" s="42">
        <v>3639.9</v>
      </c>
      <c r="P65" s="42">
        <v>2043.41</v>
      </c>
      <c r="Q65" s="42">
        <f t="shared" si="1"/>
        <v>25991.899999999998</v>
      </c>
      <c r="R65" s="42"/>
      <c r="S65" s="42"/>
      <c r="T65" s="42"/>
    </row>
    <row r="66" spans="1:20" x14ac:dyDescent="0.25">
      <c r="A66" s="5" t="s">
        <v>85</v>
      </c>
      <c r="B66" s="40">
        <v>198</v>
      </c>
      <c r="C66" s="42">
        <v>26215.439999999999</v>
      </c>
      <c r="D66" s="42">
        <v>13322.61</v>
      </c>
      <c r="E66" s="42">
        <v>104637.86</v>
      </c>
      <c r="F66" s="42">
        <v>17190.439999999999</v>
      </c>
      <c r="G66" s="42">
        <v>8595.2099999999991</v>
      </c>
      <c r="H66" s="42">
        <v>6016.63</v>
      </c>
      <c r="I66" s="42">
        <v>859.56</v>
      </c>
      <c r="J66" s="42"/>
      <c r="K66" s="42">
        <v>897.45</v>
      </c>
      <c r="L66" s="42"/>
      <c r="M66" s="42">
        <f t="shared" si="0"/>
        <v>177735.2</v>
      </c>
      <c r="N66" s="42">
        <v>22010.77</v>
      </c>
      <c r="O66" s="42">
        <v>35943.03</v>
      </c>
      <c r="P66" s="42">
        <v>22129.55</v>
      </c>
      <c r="Q66" s="42">
        <f t="shared" si="1"/>
        <v>257818.55</v>
      </c>
      <c r="R66" s="42"/>
      <c r="S66" s="42"/>
      <c r="T66" s="42"/>
    </row>
    <row r="67" spans="1:20" x14ac:dyDescent="0.25">
      <c r="A67" s="5" t="s">
        <v>86</v>
      </c>
      <c r="B67" s="40">
        <v>87</v>
      </c>
      <c r="C67" s="42">
        <v>4708.53</v>
      </c>
      <c r="D67" s="42">
        <v>7382.66</v>
      </c>
      <c r="E67" s="42">
        <v>20069.25</v>
      </c>
      <c r="F67" s="42">
        <v>6406.73</v>
      </c>
      <c r="G67" s="42">
        <v>1543.79</v>
      </c>
      <c r="H67" s="42">
        <v>2547.2600000000002</v>
      </c>
      <c r="I67" s="42">
        <v>810.51</v>
      </c>
      <c r="J67" s="42"/>
      <c r="K67" s="42">
        <v>228.6</v>
      </c>
      <c r="L67" s="42">
        <v>1333.89</v>
      </c>
      <c r="M67" s="42">
        <f t="shared" si="0"/>
        <v>45031.22</v>
      </c>
      <c r="N67" s="42">
        <v>5661</v>
      </c>
      <c r="O67" s="42">
        <v>9023.64</v>
      </c>
      <c r="P67" s="42">
        <v>5729.8</v>
      </c>
      <c r="Q67" s="42">
        <f t="shared" si="1"/>
        <v>65445.66</v>
      </c>
      <c r="R67" s="42"/>
      <c r="S67" s="42"/>
      <c r="T67" s="42"/>
    </row>
    <row r="68" spans="1:20" x14ac:dyDescent="0.25">
      <c r="A68" s="5" t="s">
        <v>87</v>
      </c>
      <c r="B68" s="40">
        <v>0</v>
      </c>
      <c r="C68" s="42"/>
      <c r="D68" s="42"/>
      <c r="E68" s="42"/>
      <c r="F68" s="42"/>
      <c r="G68" s="42"/>
      <c r="H68" s="42"/>
      <c r="I68" s="42"/>
      <c r="J68" s="42"/>
      <c r="K68" s="42"/>
      <c r="L68" s="42"/>
      <c r="M68" s="42">
        <f t="shared" si="0"/>
        <v>0</v>
      </c>
      <c r="N68" s="42"/>
      <c r="O68" s="42"/>
      <c r="P68" s="42"/>
      <c r="Q68" s="42">
        <f t="shared" si="1"/>
        <v>0</v>
      </c>
      <c r="R68" s="42"/>
      <c r="S68" s="42"/>
      <c r="T68" s="42"/>
    </row>
    <row r="69" spans="1:20" x14ac:dyDescent="0.25">
      <c r="A69" s="5" t="s">
        <v>88</v>
      </c>
      <c r="B69" s="40">
        <v>84</v>
      </c>
      <c r="C69" s="42">
        <v>4687.8599999999997</v>
      </c>
      <c r="D69" s="42">
        <v>7121.51</v>
      </c>
      <c r="E69" s="42">
        <v>21948.5</v>
      </c>
      <c r="F69" s="42">
        <v>4188.3900000000003</v>
      </c>
      <c r="G69" s="42">
        <v>1536.99</v>
      </c>
      <c r="H69" s="42">
        <v>3384.93</v>
      </c>
      <c r="I69" s="42">
        <v>653.67999999999995</v>
      </c>
      <c r="J69" s="42"/>
      <c r="K69" s="42">
        <v>74.430000000000007</v>
      </c>
      <c r="L69" s="42">
        <v>277.07</v>
      </c>
      <c r="M69" s="42">
        <f t="shared" ref="M69:M123" si="2">SUM(C69:L69)</f>
        <v>43873.359999999993</v>
      </c>
      <c r="N69" s="42">
        <v>5212.62</v>
      </c>
      <c r="O69" s="42">
        <v>8669.8700000000008</v>
      </c>
      <c r="P69" s="42">
        <v>7862</v>
      </c>
      <c r="Q69" s="42">
        <f t="shared" ref="Q69:Q123" si="3">SUM(M69:P69)</f>
        <v>65617.850000000006</v>
      </c>
      <c r="R69" s="42"/>
      <c r="S69" s="42"/>
      <c r="T69" s="42"/>
    </row>
    <row r="70" spans="1:20" x14ac:dyDescent="0.25">
      <c r="A70" s="5" t="s">
        <v>89</v>
      </c>
      <c r="B70" s="40">
        <v>86</v>
      </c>
      <c r="C70" s="42">
        <v>4927.7700000000004</v>
      </c>
      <c r="D70" s="42">
        <v>4887.38</v>
      </c>
      <c r="E70" s="42">
        <v>24685.67</v>
      </c>
      <c r="F70" s="42">
        <v>3796.8</v>
      </c>
      <c r="G70" s="42">
        <v>3231.32</v>
      </c>
      <c r="H70" s="42">
        <v>2665.83</v>
      </c>
      <c r="I70" s="42">
        <v>565.48</v>
      </c>
      <c r="J70" s="42"/>
      <c r="K70" s="42"/>
      <c r="L70" s="42">
        <v>49.08</v>
      </c>
      <c r="M70" s="42">
        <f t="shared" si="2"/>
        <v>44809.330000000009</v>
      </c>
      <c r="N70" s="42">
        <v>5982.38</v>
      </c>
      <c r="O70" s="42">
        <v>9133.93</v>
      </c>
      <c r="P70" s="42">
        <v>5340.88</v>
      </c>
      <c r="Q70" s="42">
        <f t="shared" si="3"/>
        <v>65266.520000000004</v>
      </c>
      <c r="R70" s="42"/>
      <c r="S70" s="42"/>
      <c r="T70" s="42"/>
    </row>
    <row r="71" spans="1:20" x14ac:dyDescent="0.25">
      <c r="A71" s="5" t="s">
        <v>90</v>
      </c>
      <c r="B71" s="40">
        <v>67</v>
      </c>
      <c r="C71" s="42">
        <v>3753.53</v>
      </c>
      <c r="D71" s="42">
        <v>4164.46</v>
      </c>
      <c r="E71" s="42">
        <v>12737.4</v>
      </c>
      <c r="F71" s="42">
        <v>2153.6799999999998</v>
      </c>
      <c r="G71" s="42">
        <v>1076.9000000000001</v>
      </c>
      <c r="H71" s="42">
        <v>1938.39</v>
      </c>
      <c r="I71" s="42"/>
      <c r="J71" s="42"/>
      <c r="K71" s="42">
        <v>1757.09</v>
      </c>
      <c r="L71" s="42"/>
      <c r="M71" s="42">
        <f t="shared" si="2"/>
        <v>27581.45</v>
      </c>
      <c r="N71" s="42">
        <v>3684.88</v>
      </c>
      <c r="O71" s="42">
        <v>5623.51</v>
      </c>
      <c r="P71" s="42">
        <v>3414.79</v>
      </c>
      <c r="Q71" s="42">
        <f t="shared" si="3"/>
        <v>40304.630000000005</v>
      </c>
      <c r="R71" s="42"/>
      <c r="S71" s="42"/>
      <c r="T71" s="42"/>
    </row>
    <row r="72" spans="1:20" x14ac:dyDescent="0.25">
      <c r="A72" s="5" t="s">
        <v>91</v>
      </c>
      <c r="B72" s="40">
        <v>98</v>
      </c>
      <c r="C72" s="42">
        <v>5146.93</v>
      </c>
      <c r="D72" s="42">
        <v>4484.3</v>
      </c>
      <c r="E72" s="42">
        <v>20165.84</v>
      </c>
      <c r="F72" s="42">
        <v>3121.92</v>
      </c>
      <c r="G72" s="42">
        <v>1687.52</v>
      </c>
      <c r="H72" s="42">
        <v>1645.39</v>
      </c>
      <c r="I72" s="42"/>
      <c r="J72" s="42">
        <v>1940.63</v>
      </c>
      <c r="K72" s="42">
        <v>2401.11</v>
      </c>
      <c r="L72" s="42"/>
      <c r="M72" s="42">
        <f t="shared" si="2"/>
        <v>40593.639999999992</v>
      </c>
      <c r="N72" s="42">
        <v>5241.38</v>
      </c>
      <c r="O72" s="42">
        <v>8236.39</v>
      </c>
      <c r="P72" s="42">
        <v>5000.1899999999996</v>
      </c>
      <c r="Q72" s="42">
        <f t="shared" si="3"/>
        <v>59071.599999999991</v>
      </c>
      <c r="R72" s="42"/>
      <c r="S72" s="42"/>
      <c r="T72" s="42"/>
    </row>
    <row r="73" spans="1:20" x14ac:dyDescent="0.25">
      <c r="A73" s="5" t="s">
        <v>92</v>
      </c>
      <c r="B73" s="40">
        <v>27</v>
      </c>
      <c r="C73" s="42">
        <v>2108.1</v>
      </c>
      <c r="D73" s="42">
        <v>2272.31</v>
      </c>
      <c r="E73" s="42">
        <v>7810.33</v>
      </c>
      <c r="F73" s="42" t="s">
        <v>183</v>
      </c>
      <c r="G73" s="42">
        <v>518.38</v>
      </c>
      <c r="H73" s="42">
        <v>881.28</v>
      </c>
      <c r="I73" s="42">
        <v>266.13</v>
      </c>
      <c r="J73" s="42"/>
      <c r="K73" s="42">
        <v>1562.12</v>
      </c>
      <c r="L73" s="42">
        <v>2.7</v>
      </c>
      <c r="M73" s="42">
        <f t="shared" si="2"/>
        <v>15421.349999999999</v>
      </c>
      <c r="N73" s="42">
        <v>1983.62</v>
      </c>
      <c r="O73" s="42">
        <v>3041.08</v>
      </c>
      <c r="P73" s="42">
        <v>1925.53</v>
      </c>
      <c r="Q73" s="42">
        <f t="shared" si="3"/>
        <v>22371.579999999994</v>
      </c>
      <c r="R73" s="42"/>
      <c r="S73" s="42"/>
      <c r="T73" s="42"/>
    </row>
    <row r="74" spans="1:20" x14ac:dyDescent="0.25">
      <c r="A74" s="5" t="s">
        <v>93</v>
      </c>
      <c r="B74" s="40">
        <v>75</v>
      </c>
      <c r="C74" s="42">
        <v>7953.25</v>
      </c>
      <c r="D74" s="42">
        <v>8849.7900000000009</v>
      </c>
      <c r="E74" s="42">
        <v>37025.58</v>
      </c>
      <c r="F74" s="42">
        <v>5997.53</v>
      </c>
      <c r="G74" s="42">
        <v>1303.81</v>
      </c>
      <c r="H74" s="42">
        <v>3324.74</v>
      </c>
      <c r="I74" s="42">
        <v>977.87</v>
      </c>
      <c r="J74" s="42"/>
      <c r="K74" s="42"/>
      <c r="L74" s="42">
        <v>609.22</v>
      </c>
      <c r="M74" s="42">
        <f t="shared" si="2"/>
        <v>66041.789999999994</v>
      </c>
      <c r="N74" s="42">
        <v>8243.89</v>
      </c>
      <c r="O74" s="42">
        <v>13283.35</v>
      </c>
      <c r="P74" s="42">
        <v>7691.68</v>
      </c>
      <c r="Q74" s="42">
        <f t="shared" si="3"/>
        <v>95260.709999999992</v>
      </c>
      <c r="R74" s="42"/>
      <c r="S74" s="42"/>
      <c r="T74" s="42"/>
    </row>
    <row r="75" spans="1:20" x14ac:dyDescent="0.25">
      <c r="A75" s="5" t="s">
        <v>94</v>
      </c>
      <c r="B75" s="40">
        <v>3</v>
      </c>
      <c r="C75" s="42">
        <v>122.35</v>
      </c>
      <c r="D75" s="42">
        <v>133.31</v>
      </c>
      <c r="E75" s="42">
        <v>435.23</v>
      </c>
      <c r="F75" s="42">
        <v>49.14</v>
      </c>
      <c r="G75" s="42">
        <v>30.09</v>
      </c>
      <c r="H75" s="42">
        <v>38.11</v>
      </c>
      <c r="I75" s="42"/>
      <c r="J75" s="42">
        <v>75.22</v>
      </c>
      <c r="K75" s="42">
        <v>22.5</v>
      </c>
      <c r="L75" s="42"/>
      <c r="M75" s="42">
        <f t="shared" si="2"/>
        <v>905.95</v>
      </c>
      <c r="N75" s="42">
        <v>117</v>
      </c>
      <c r="O75" s="42">
        <v>179.39</v>
      </c>
      <c r="P75" s="42">
        <v>118.2</v>
      </c>
      <c r="Q75" s="42">
        <f t="shared" si="3"/>
        <v>1320.5400000000002</v>
      </c>
      <c r="R75" s="42"/>
      <c r="S75" s="42"/>
      <c r="T75" s="42"/>
    </row>
    <row r="76" spans="1:20" x14ac:dyDescent="0.25">
      <c r="A76" s="5" t="s">
        <v>95</v>
      </c>
      <c r="B76" s="40">
        <v>160</v>
      </c>
      <c r="C76" s="42">
        <v>24120.84</v>
      </c>
      <c r="D76" s="42">
        <v>22424.93</v>
      </c>
      <c r="E76" s="42">
        <v>61571.75</v>
      </c>
      <c r="F76" s="42">
        <v>11862.71</v>
      </c>
      <c r="G76" s="42">
        <v>4745.1099999999997</v>
      </c>
      <c r="H76" s="42">
        <v>2965.91</v>
      </c>
      <c r="I76" s="42"/>
      <c r="J76" s="42"/>
      <c r="K76" s="42">
        <v>5212.5600000000004</v>
      </c>
      <c r="L76" s="42">
        <v>3783.46</v>
      </c>
      <c r="M76" s="42">
        <f t="shared" si="2"/>
        <v>136687.27000000002</v>
      </c>
      <c r="N76" s="42">
        <v>16613.63</v>
      </c>
      <c r="O76" s="42">
        <v>26689.51</v>
      </c>
      <c r="P76" s="42">
        <v>15584.82</v>
      </c>
      <c r="Q76" s="42">
        <f t="shared" si="3"/>
        <v>195575.23000000004</v>
      </c>
      <c r="R76" s="42"/>
      <c r="S76" s="42"/>
      <c r="T76" s="42"/>
    </row>
    <row r="77" spans="1:20" x14ac:dyDescent="0.25">
      <c r="A77" s="5" t="s">
        <v>96</v>
      </c>
      <c r="B77" s="40">
        <v>33</v>
      </c>
      <c r="C77" s="42">
        <v>1877.73</v>
      </c>
      <c r="D77" s="42">
        <v>1726.16</v>
      </c>
      <c r="E77" s="42">
        <v>6110.32</v>
      </c>
      <c r="F77" s="42">
        <v>1185.1300000000001</v>
      </c>
      <c r="G77" s="42">
        <v>615.65</v>
      </c>
      <c r="H77" s="42"/>
      <c r="I77" s="42">
        <v>261.66000000000003</v>
      </c>
      <c r="J77" s="42"/>
      <c r="K77" s="42">
        <v>1539.12</v>
      </c>
      <c r="L77" s="42">
        <v>9.69</v>
      </c>
      <c r="M77" s="42">
        <f t="shared" si="2"/>
        <v>13325.460000000001</v>
      </c>
      <c r="N77" s="42">
        <v>1641.86</v>
      </c>
      <c r="O77" s="42">
        <v>2678.28</v>
      </c>
      <c r="P77" s="42">
        <v>1801.14</v>
      </c>
      <c r="Q77" s="42">
        <f t="shared" si="3"/>
        <v>19446.740000000002</v>
      </c>
      <c r="R77" s="42"/>
      <c r="S77" s="42"/>
      <c r="T77" s="42"/>
    </row>
    <row r="78" spans="1:20" x14ac:dyDescent="0.25">
      <c r="A78" s="5" t="s">
        <v>97</v>
      </c>
      <c r="B78" s="40">
        <v>4</v>
      </c>
      <c r="C78" s="42">
        <v>124.81</v>
      </c>
      <c r="D78" s="42">
        <v>187.41</v>
      </c>
      <c r="E78" s="42">
        <v>544.27</v>
      </c>
      <c r="F78" s="42">
        <v>38.880000000000003</v>
      </c>
      <c r="G78" s="42">
        <v>37.869999999999997</v>
      </c>
      <c r="H78" s="42">
        <v>33.770000000000003</v>
      </c>
      <c r="I78" s="42">
        <v>13.31</v>
      </c>
      <c r="J78" s="42"/>
      <c r="K78" s="42"/>
      <c r="L78" s="42"/>
      <c r="M78" s="42">
        <f t="shared" si="2"/>
        <v>980.31999999999994</v>
      </c>
      <c r="N78" s="42">
        <v>123.46</v>
      </c>
      <c r="O78" s="42">
        <v>196.87</v>
      </c>
      <c r="P78" s="42">
        <v>154.43</v>
      </c>
      <c r="Q78" s="42">
        <f t="shared" si="3"/>
        <v>1455.0800000000002</v>
      </c>
      <c r="R78" s="42"/>
      <c r="S78" s="42"/>
      <c r="T78" s="42"/>
    </row>
    <row r="79" spans="1:20" x14ac:dyDescent="0.25">
      <c r="A79" s="5" t="s">
        <v>98</v>
      </c>
      <c r="B79" s="40">
        <v>251</v>
      </c>
      <c r="C79" s="42">
        <v>31366.23</v>
      </c>
      <c r="D79" s="42">
        <v>23849.32</v>
      </c>
      <c r="E79" s="42">
        <v>156157.6</v>
      </c>
      <c r="F79" s="42">
        <v>14397.6</v>
      </c>
      <c r="G79" s="42">
        <v>12854.99</v>
      </c>
      <c r="H79" s="42">
        <v>3856.53</v>
      </c>
      <c r="I79" s="42"/>
      <c r="J79" s="42">
        <v>12597.91</v>
      </c>
      <c r="K79" s="42">
        <v>463.95</v>
      </c>
      <c r="L79" s="42"/>
      <c r="M79" s="42">
        <f t="shared" si="2"/>
        <v>255544.13000000003</v>
      </c>
      <c r="N79" s="42">
        <v>30041.03</v>
      </c>
      <c r="O79" s="42">
        <v>51108.67</v>
      </c>
      <c r="P79" s="42">
        <v>29068.39</v>
      </c>
      <c r="Q79" s="42">
        <f t="shared" si="3"/>
        <v>365762.22000000003</v>
      </c>
      <c r="R79" s="42"/>
      <c r="S79" s="42"/>
      <c r="T79" s="42"/>
    </row>
    <row r="80" spans="1:20" x14ac:dyDescent="0.25">
      <c r="A80" s="5" t="s">
        <v>99</v>
      </c>
      <c r="B80" s="40">
        <v>37</v>
      </c>
      <c r="C80" s="42">
        <v>2167.5</v>
      </c>
      <c r="D80" s="42">
        <v>7238.1</v>
      </c>
      <c r="E80" s="42">
        <v>8474.58</v>
      </c>
      <c r="F80" s="42">
        <v>1350.24</v>
      </c>
      <c r="G80" s="42">
        <v>1421.31</v>
      </c>
      <c r="H80" s="42">
        <v>1581.21</v>
      </c>
      <c r="I80" s="42">
        <v>248.74</v>
      </c>
      <c r="J80" s="42"/>
      <c r="K80" s="42"/>
      <c r="L80" s="42">
        <v>20.68</v>
      </c>
      <c r="M80" s="42">
        <f t="shared" si="2"/>
        <v>22502.360000000004</v>
      </c>
      <c r="N80" s="42">
        <v>2960.68</v>
      </c>
      <c r="O80" s="42">
        <v>4448.71</v>
      </c>
      <c r="P80" s="42">
        <v>2557.31</v>
      </c>
      <c r="Q80" s="42">
        <f t="shared" si="3"/>
        <v>32469.060000000005</v>
      </c>
      <c r="R80" s="42"/>
      <c r="S80" s="42"/>
      <c r="T80" s="42"/>
    </row>
    <row r="81" spans="1:20" x14ac:dyDescent="0.25">
      <c r="A81" s="5" t="s">
        <v>100</v>
      </c>
      <c r="B81" s="40">
        <v>27</v>
      </c>
      <c r="C81" s="42">
        <v>2457.6799999999998</v>
      </c>
      <c r="D81" s="42">
        <v>2096.46</v>
      </c>
      <c r="E81" s="42">
        <v>10837.97</v>
      </c>
      <c r="F81" s="42">
        <v>1047.54</v>
      </c>
      <c r="G81" s="42">
        <v>604.35</v>
      </c>
      <c r="H81" s="42">
        <v>624.5</v>
      </c>
      <c r="I81" s="42"/>
      <c r="J81" s="42"/>
      <c r="K81" s="42"/>
      <c r="L81" s="42">
        <v>221.6</v>
      </c>
      <c r="M81" s="42">
        <f t="shared" si="2"/>
        <v>17890.099999999995</v>
      </c>
      <c r="N81" s="42">
        <v>2256.52</v>
      </c>
      <c r="O81" s="42">
        <v>3419.94</v>
      </c>
      <c r="P81" s="42">
        <v>2006.99</v>
      </c>
      <c r="Q81" s="42">
        <f t="shared" si="3"/>
        <v>25573.549999999996</v>
      </c>
      <c r="R81" s="42"/>
      <c r="S81" s="42"/>
      <c r="T81" s="42"/>
    </row>
    <row r="82" spans="1:20" x14ac:dyDescent="0.25">
      <c r="A82" s="5" t="s">
        <v>101</v>
      </c>
      <c r="B82" s="40">
        <v>75</v>
      </c>
      <c r="C82" s="42">
        <v>8078.4</v>
      </c>
      <c r="D82" s="42">
        <v>6489.16</v>
      </c>
      <c r="E82" s="42">
        <v>31254.03</v>
      </c>
      <c r="F82" s="42">
        <v>6290.66</v>
      </c>
      <c r="G82" s="42">
        <v>4966.33</v>
      </c>
      <c r="H82" s="42">
        <v>1191.8599999999999</v>
      </c>
      <c r="I82" s="42">
        <v>331.19</v>
      </c>
      <c r="J82" s="42"/>
      <c r="K82" s="42">
        <v>3423.68</v>
      </c>
      <c r="L82" s="42">
        <v>7125.07</v>
      </c>
      <c r="M82" s="42">
        <f t="shared" si="2"/>
        <v>69150.38</v>
      </c>
      <c r="N82" s="42">
        <v>9105.9599999999991</v>
      </c>
      <c r="O82" s="42">
        <v>13980.06</v>
      </c>
      <c r="P82" s="42">
        <v>7665.11</v>
      </c>
      <c r="Q82" s="42">
        <f t="shared" si="3"/>
        <v>99901.51</v>
      </c>
      <c r="R82" s="42"/>
      <c r="S82" s="42"/>
      <c r="T82" s="42"/>
    </row>
    <row r="83" spans="1:20" x14ac:dyDescent="0.25">
      <c r="A83" s="5" t="s">
        <v>102</v>
      </c>
      <c r="B83" s="40">
        <v>30</v>
      </c>
      <c r="C83" s="42">
        <v>1850.88</v>
      </c>
      <c r="D83" s="42">
        <v>1842.44</v>
      </c>
      <c r="E83" s="42">
        <v>11529.97</v>
      </c>
      <c r="F83" s="42">
        <v>1699.17</v>
      </c>
      <c r="G83" s="42">
        <v>606.84</v>
      </c>
      <c r="H83" s="42">
        <v>728.19</v>
      </c>
      <c r="I83" s="42"/>
      <c r="J83" s="42"/>
      <c r="K83" s="42"/>
      <c r="L83" s="42">
        <v>98.12</v>
      </c>
      <c r="M83" s="42">
        <f t="shared" si="2"/>
        <v>18355.609999999997</v>
      </c>
      <c r="N83" s="42">
        <v>2371.4499999999998</v>
      </c>
      <c r="O83" s="42">
        <v>3703.15</v>
      </c>
      <c r="P83" s="42">
        <v>2299.5300000000002</v>
      </c>
      <c r="Q83" s="42">
        <f t="shared" si="3"/>
        <v>26729.739999999998</v>
      </c>
      <c r="R83" s="42"/>
      <c r="S83" s="42"/>
      <c r="T83" s="42"/>
    </row>
    <row r="84" spans="1:20" x14ac:dyDescent="0.25">
      <c r="A84" s="5" t="s">
        <v>103</v>
      </c>
      <c r="B84" s="40">
        <v>33</v>
      </c>
      <c r="C84" s="42">
        <v>3017.25</v>
      </c>
      <c r="D84" s="42">
        <v>6645.48</v>
      </c>
      <c r="E84" s="42">
        <v>11574.38</v>
      </c>
      <c r="F84" s="42">
        <v>1657</v>
      </c>
      <c r="G84" s="42">
        <v>1978.51</v>
      </c>
      <c r="H84" s="42">
        <v>989.27</v>
      </c>
      <c r="I84" s="42"/>
      <c r="J84" s="42"/>
      <c r="K84" s="42"/>
      <c r="L84" s="42">
        <v>2306.75</v>
      </c>
      <c r="M84" s="42">
        <f t="shared" si="2"/>
        <v>28168.639999999999</v>
      </c>
      <c r="N84" s="42">
        <v>3524.61</v>
      </c>
      <c r="O84" s="42">
        <v>5415.93</v>
      </c>
      <c r="P84" s="42">
        <v>3186.45</v>
      </c>
      <c r="Q84" s="42">
        <f t="shared" si="3"/>
        <v>40295.629999999997</v>
      </c>
      <c r="R84" s="42"/>
      <c r="S84" s="42"/>
      <c r="T84" s="42"/>
    </row>
    <row r="85" spans="1:20" x14ac:dyDescent="0.25">
      <c r="A85" s="5" t="s">
        <v>104</v>
      </c>
      <c r="B85" s="40">
        <v>73</v>
      </c>
      <c r="C85" s="42">
        <v>5837.08</v>
      </c>
      <c r="D85" s="42">
        <v>11064.52</v>
      </c>
      <c r="E85" s="42">
        <v>23779.01</v>
      </c>
      <c r="F85" s="42">
        <v>4688.84</v>
      </c>
      <c r="G85" s="42">
        <v>1291.78</v>
      </c>
      <c r="H85" s="42">
        <v>1818.13</v>
      </c>
      <c r="I85" s="42">
        <v>382.77</v>
      </c>
      <c r="J85" s="42"/>
      <c r="K85" s="42">
        <v>3658.17</v>
      </c>
      <c r="L85" s="42">
        <v>786.6</v>
      </c>
      <c r="M85" s="42">
        <f t="shared" si="2"/>
        <v>53306.899999999987</v>
      </c>
      <c r="N85" s="42">
        <v>6875.07</v>
      </c>
      <c r="O85" s="42">
        <v>10661.39</v>
      </c>
      <c r="P85" s="42">
        <v>6352.67</v>
      </c>
      <c r="Q85" s="42">
        <f t="shared" si="3"/>
        <v>77196.029999999984</v>
      </c>
      <c r="R85" s="42"/>
      <c r="S85" s="42"/>
      <c r="T85" s="42"/>
    </row>
    <row r="86" spans="1:20" x14ac:dyDescent="0.25">
      <c r="A86" s="5" t="s">
        <v>105</v>
      </c>
      <c r="B86" s="40">
        <v>35</v>
      </c>
      <c r="C86" s="42">
        <v>1177.08</v>
      </c>
      <c r="D86" s="42">
        <v>1309.9100000000001</v>
      </c>
      <c r="E86" s="42">
        <v>4534.68</v>
      </c>
      <c r="F86" s="42">
        <v>868.34</v>
      </c>
      <c r="G86" s="42">
        <v>771.86</v>
      </c>
      <c r="H86" s="42">
        <v>627.12</v>
      </c>
      <c r="I86" s="42">
        <v>578.89</v>
      </c>
      <c r="J86" s="42">
        <v>868.34</v>
      </c>
      <c r="K86" s="42">
        <v>839.41</v>
      </c>
      <c r="L86" s="42">
        <v>23.46</v>
      </c>
      <c r="M86" s="42">
        <f t="shared" si="2"/>
        <v>11599.09</v>
      </c>
      <c r="N86" s="42">
        <v>1496.92</v>
      </c>
      <c r="O86" s="42">
        <v>2277.83</v>
      </c>
      <c r="P86" s="42">
        <v>1663.9</v>
      </c>
      <c r="Q86" s="42">
        <f t="shared" si="3"/>
        <v>17037.740000000002</v>
      </c>
      <c r="R86" s="42"/>
      <c r="S86" s="42"/>
      <c r="T86" s="42"/>
    </row>
    <row r="87" spans="1:20" x14ac:dyDescent="0.25">
      <c r="A87" s="5" t="s">
        <v>106</v>
      </c>
      <c r="B87" s="40">
        <v>90</v>
      </c>
      <c r="C87" s="42">
        <v>10281.18</v>
      </c>
      <c r="D87" s="42">
        <v>9062.9599999999991</v>
      </c>
      <c r="E87" s="42">
        <v>46783.62</v>
      </c>
      <c r="F87" s="42">
        <v>7163.19</v>
      </c>
      <c r="G87" s="42">
        <v>3370.91</v>
      </c>
      <c r="H87" s="42">
        <v>3539.42</v>
      </c>
      <c r="I87" s="42">
        <v>589.86</v>
      </c>
      <c r="J87" s="42"/>
      <c r="K87" s="42">
        <v>3248.63</v>
      </c>
      <c r="L87" s="42"/>
      <c r="M87" s="42">
        <f t="shared" si="2"/>
        <v>84039.770000000019</v>
      </c>
      <c r="N87" s="42">
        <v>10363.33</v>
      </c>
      <c r="O87" s="42">
        <v>16843.990000000002</v>
      </c>
      <c r="P87" s="42">
        <v>9682</v>
      </c>
      <c r="Q87" s="42">
        <f t="shared" si="3"/>
        <v>120929.09000000003</v>
      </c>
      <c r="R87" s="42"/>
      <c r="S87" s="42"/>
      <c r="T87" s="42"/>
    </row>
    <row r="88" spans="1:20" x14ac:dyDescent="0.25">
      <c r="A88" s="5" t="s">
        <v>107</v>
      </c>
      <c r="B88" s="40">
        <v>29</v>
      </c>
      <c r="C88" s="42">
        <v>2611.63</v>
      </c>
      <c r="D88" s="42">
        <v>2275.98</v>
      </c>
      <c r="E88" s="42">
        <v>10938.92</v>
      </c>
      <c r="F88" s="42">
        <v>1798.19</v>
      </c>
      <c r="G88" s="42"/>
      <c r="H88" s="42">
        <v>1819.57</v>
      </c>
      <c r="I88" s="42">
        <v>321.11</v>
      </c>
      <c r="J88" s="42">
        <v>1241.6099999999999</v>
      </c>
      <c r="K88" s="42"/>
      <c r="L88" s="42">
        <v>7.72</v>
      </c>
      <c r="M88" s="42">
        <f t="shared" si="2"/>
        <v>21014.730000000003</v>
      </c>
      <c r="N88" s="42">
        <v>2745.55</v>
      </c>
      <c r="O88" s="42">
        <v>4144.9399999999996</v>
      </c>
      <c r="P88" s="42">
        <v>2492.96</v>
      </c>
      <c r="Q88" s="42">
        <f t="shared" si="3"/>
        <v>30398.18</v>
      </c>
      <c r="R88" s="42"/>
      <c r="S88" s="42"/>
      <c r="T88" s="42"/>
    </row>
    <row r="89" spans="1:20" x14ac:dyDescent="0.25">
      <c r="A89" s="5" t="s">
        <v>108</v>
      </c>
      <c r="B89" s="40">
        <v>19</v>
      </c>
      <c r="C89" s="42">
        <v>1180.08</v>
      </c>
      <c r="D89" s="42">
        <v>1013.22</v>
      </c>
      <c r="E89" s="42">
        <v>4626.99</v>
      </c>
      <c r="F89" s="42">
        <v>570.71</v>
      </c>
      <c r="G89" s="42">
        <v>386.92</v>
      </c>
      <c r="H89" s="42">
        <v>483.65</v>
      </c>
      <c r="I89" s="42">
        <v>174.13</v>
      </c>
      <c r="J89" s="42">
        <v>640.34</v>
      </c>
      <c r="K89" s="42"/>
      <c r="L89" s="42">
        <v>11.76</v>
      </c>
      <c r="M89" s="42">
        <f t="shared" si="2"/>
        <v>9087.7999999999993</v>
      </c>
      <c r="N89" s="42">
        <v>1019.23</v>
      </c>
      <c r="O89" s="42">
        <v>1823.18</v>
      </c>
      <c r="P89" s="42">
        <v>1177.57</v>
      </c>
      <c r="Q89" s="42">
        <f t="shared" si="3"/>
        <v>13107.779999999999</v>
      </c>
      <c r="R89" s="42"/>
      <c r="S89" s="42"/>
      <c r="T89" s="42"/>
    </row>
    <row r="90" spans="1:20" x14ac:dyDescent="0.25">
      <c r="A90" s="5" t="s">
        <v>109</v>
      </c>
      <c r="B90" s="40">
        <v>72</v>
      </c>
      <c r="C90" s="42">
        <v>6810.61</v>
      </c>
      <c r="D90" s="42">
        <v>4435.2299999999996</v>
      </c>
      <c r="E90" s="42">
        <v>27354.080000000002</v>
      </c>
      <c r="F90" s="42">
        <v>3572.77</v>
      </c>
      <c r="G90" s="42">
        <v>2791.23</v>
      </c>
      <c r="H90" s="42">
        <v>2902.88</v>
      </c>
      <c r="I90" s="42"/>
      <c r="J90" s="42">
        <v>3851.92</v>
      </c>
      <c r="K90" s="42">
        <v>3725.89</v>
      </c>
      <c r="L90" s="42"/>
      <c r="M90" s="42">
        <f t="shared" si="2"/>
        <v>55444.609999999993</v>
      </c>
      <c r="N90" s="42">
        <v>7031.98</v>
      </c>
      <c r="O90" s="42">
        <v>11240.9</v>
      </c>
      <c r="P90" s="42">
        <v>6628.47</v>
      </c>
      <c r="Q90" s="42">
        <f t="shared" si="3"/>
        <v>80345.959999999992</v>
      </c>
      <c r="R90" s="42"/>
      <c r="S90" s="42"/>
      <c r="T90" s="42"/>
    </row>
    <row r="91" spans="1:20" x14ac:dyDescent="0.25">
      <c r="A91" s="5" t="s">
        <v>110</v>
      </c>
      <c r="B91" s="40">
        <v>48</v>
      </c>
      <c r="C91" s="42">
        <v>2411.4299999999998</v>
      </c>
      <c r="D91" s="42">
        <v>1185.96</v>
      </c>
      <c r="E91" s="42">
        <v>10715.7</v>
      </c>
      <c r="F91" s="42">
        <v>1838.33</v>
      </c>
      <c r="G91" s="42">
        <v>1976.58</v>
      </c>
      <c r="H91" s="42">
        <v>2312.63</v>
      </c>
      <c r="I91" s="42">
        <v>355.79</v>
      </c>
      <c r="J91" s="42">
        <v>1660.34</v>
      </c>
      <c r="K91" s="42"/>
      <c r="L91" s="42"/>
      <c r="M91" s="42">
        <f t="shared" si="2"/>
        <v>22456.760000000002</v>
      </c>
      <c r="N91" s="42">
        <v>2963.91</v>
      </c>
      <c r="O91" s="42">
        <v>4487.7</v>
      </c>
      <c r="P91" s="42">
        <v>2699.88</v>
      </c>
      <c r="Q91" s="42">
        <f t="shared" si="3"/>
        <v>32608.250000000004</v>
      </c>
      <c r="R91" s="42"/>
      <c r="S91" s="42"/>
      <c r="T91" s="42"/>
    </row>
    <row r="92" spans="1:20" x14ac:dyDescent="0.25">
      <c r="A92" s="5" t="s">
        <v>111</v>
      </c>
      <c r="B92" s="40">
        <v>57</v>
      </c>
      <c r="C92" s="42">
        <v>4115.32</v>
      </c>
      <c r="D92" s="42">
        <v>3599.68</v>
      </c>
      <c r="E92" s="42">
        <v>16764.86</v>
      </c>
      <c r="F92" s="42">
        <v>2799.77</v>
      </c>
      <c r="G92" s="42">
        <v>742.11</v>
      </c>
      <c r="H92" s="42">
        <v>640.88</v>
      </c>
      <c r="I92" s="42">
        <v>175.38</v>
      </c>
      <c r="J92" s="42"/>
      <c r="K92" s="42"/>
      <c r="L92" s="42">
        <v>486.7</v>
      </c>
      <c r="M92" s="42">
        <f t="shared" si="2"/>
        <v>29324.700000000004</v>
      </c>
      <c r="N92" s="42">
        <v>3749.77</v>
      </c>
      <c r="O92" s="42">
        <v>6031.68</v>
      </c>
      <c r="P92" s="42">
        <v>3759.35</v>
      </c>
      <c r="Q92" s="42">
        <f t="shared" si="3"/>
        <v>42865.5</v>
      </c>
      <c r="R92" s="42"/>
      <c r="S92" s="42"/>
      <c r="T92" s="42"/>
    </row>
    <row r="93" spans="1:20" x14ac:dyDescent="0.25">
      <c r="A93" s="5" t="s">
        <v>112</v>
      </c>
      <c r="B93" s="40">
        <v>114</v>
      </c>
      <c r="C93" s="42">
        <v>10316.09</v>
      </c>
      <c r="D93" s="42">
        <v>13687.98</v>
      </c>
      <c r="E93" s="42">
        <v>37669.26</v>
      </c>
      <c r="F93" s="42">
        <v>6849.32</v>
      </c>
      <c r="G93" s="42"/>
      <c r="H93" s="42">
        <v>845.63</v>
      </c>
      <c r="I93" s="42">
        <v>422.92</v>
      </c>
      <c r="J93" s="42"/>
      <c r="K93" s="42">
        <v>3385.36</v>
      </c>
      <c r="L93" s="42"/>
      <c r="M93" s="42">
        <f t="shared" si="2"/>
        <v>73176.56</v>
      </c>
      <c r="N93" s="42">
        <v>8819.9699999999993</v>
      </c>
      <c r="O93" s="42">
        <v>14544.07</v>
      </c>
      <c r="P93" s="42">
        <v>12004.12</v>
      </c>
      <c r="Q93" s="42">
        <f t="shared" si="3"/>
        <v>108544.72</v>
      </c>
      <c r="R93" s="42"/>
      <c r="S93" s="42"/>
      <c r="T93" s="42"/>
    </row>
    <row r="94" spans="1:20" x14ac:dyDescent="0.25">
      <c r="A94" s="5" t="s">
        <v>113</v>
      </c>
      <c r="B94" s="40">
        <v>7</v>
      </c>
      <c r="C94" s="42">
        <v>602.25</v>
      </c>
      <c r="D94" s="42">
        <v>720.35</v>
      </c>
      <c r="E94" s="42">
        <v>1900.54</v>
      </c>
      <c r="F94" s="42">
        <v>330.74</v>
      </c>
      <c r="G94" s="42">
        <v>246.82</v>
      </c>
      <c r="H94" s="42"/>
      <c r="I94" s="42"/>
      <c r="J94" s="42"/>
      <c r="K94" s="42">
        <v>197.2</v>
      </c>
      <c r="L94" s="42"/>
      <c r="M94" s="42">
        <f t="shared" si="2"/>
        <v>3997.9</v>
      </c>
      <c r="N94" s="42">
        <v>527.52</v>
      </c>
      <c r="O94" s="42">
        <v>789.78</v>
      </c>
      <c r="P94" s="42">
        <v>499.89</v>
      </c>
      <c r="Q94" s="42">
        <f t="shared" si="3"/>
        <v>5815.09</v>
      </c>
      <c r="R94" s="42"/>
      <c r="S94" s="42"/>
      <c r="T94" s="42"/>
    </row>
    <row r="95" spans="1:20" x14ac:dyDescent="0.25">
      <c r="A95" s="5" t="s">
        <v>114</v>
      </c>
      <c r="B95" s="40">
        <v>73</v>
      </c>
      <c r="C95" s="42">
        <v>3639.16</v>
      </c>
      <c r="D95" s="42">
        <v>2363.58</v>
      </c>
      <c r="E95" s="42">
        <v>14228.54</v>
      </c>
      <c r="F95" s="42">
        <v>2028.38</v>
      </c>
      <c r="G95" s="42">
        <v>1044.04</v>
      </c>
      <c r="H95" s="42">
        <v>658.25</v>
      </c>
      <c r="I95" s="42">
        <v>208.83</v>
      </c>
      <c r="J95" s="42"/>
      <c r="K95" s="42"/>
      <c r="L95" s="42">
        <v>155.34</v>
      </c>
      <c r="M95" s="42">
        <f t="shared" si="2"/>
        <v>24326.120000000003</v>
      </c>
      <c r="N95" s="42">
        <v>2957.21</v>
      </c>
      <c r="O95" s="42">
        <v>4937.8100000000004</v>
      </c>
      <c r="P95" s="42">
        <v>3490.89</v>
      </c>
      <c r="Q95" s="42">
        <f t="shared" si="3"/>
        <v>35712.030000000006</v>
      </c>
      <c r="R95" s="42"/>
      <c r="S95" s="42"/>
      <c r="T95" s="42"/>
    </row>
    <row r="96" spans="1:20" x14ac:dyDescent="0.25">
      <c r="A96" s="5" t="s">
        <v>115</v>
      </c>
      <c r="B96" s="40">
        <v>91</v>
      </c>
      <c r="C96" s="42">
        <v>16650.830000000002</v>
      </c>
      <c r="D96" s="42">
        <v>13830.4</v>
      </c>
      <c r="E96" s="42">
        <v>73836.81</v>
      </c>
      <c r="F96" s="42">
        <v>5049.83</v>
      </c>
      <c r="G96" s="42">
        <v>2729.65</v>
      </c>
      <c r="H96" s="42" t="s">
        <v>183</v>
      </c>
      <c r="I96" s="42"/>
      <c r="J96" s="42">
        <v>6469.32</v>
      </c>
      <c r="K96" s="42">
        <v>13416.34</v>
      </c>
      <c r="L96" s="42">
        <v>33982.839999999997</v>
      </c>
      <c r="M96" s="42">
        <f t="shared" si="2"/>
        <v>165966.01999999999</v>
      </c>
      <c r="N96" s="42">
        <v>19234.7</v>
      </c>
      <c r="O96" s="42">
        <v>33065.79</v>
      </c>
      <c r="P96" s="42">
        <v>17806.93</v>
      </c>
      <c r="Q96" s="42">
        <f t="shared" si="3"/>
        <v>236073.44</v>
      </c>
      <c r="R96" s="42"/>
      <c r="S96" s="42"/>
      <c r="T96" s="42"/>
    </row>
    <row r="97" spans="1:20" x14ac:dyDescent="0.25">
      <c r="A97" s="5" t="s">
        <v>156</v>
      </c>
      <c r="B97" s="40">
        <v>22</v>
      </c>
      <c r="C97" s="42">
        <v>2171.7600000000002</v>
      </c>
      <c r="D97" s="42">
        <v>2581.06</v>
      </c>
      <c r="E97" s="42">
        <v>11233.18</v>
      </c>
      <c r="F97" s="42">
        <v>2184.2800000000002</v>
      </c>
      <c r="G97" s="42">
        <v>996.86</v>
      </c>
      <c r="H97" s="42">
        <v>815.52</v>
      </c>
      <c r="I97" s="42">
        <v>284.8</v>
      </c>
      <c r="J97" s="42"/>
      <c r="K97" s="42">
        <v>944.21</v>
      </c>
      <c r="L97" s="42"/>
      <c r="M97" s="42">
        <f t="shared" si="2"/>
        <v>21211.67</v>
      </c>
      <c r="N97" s="42">
        <v>2671.92</v>
      </c>
      <c r="O97" s="42">
        <v>4217.3500000000004</v>
      </c>
      <c r="P97" s="42">
        <v>2458.71</v>
      </c>
      <c r="Q97" s="42">
        <f t="shared" si="3"/>
        <v>30559.649999999994</v>
      </c>
      <c r="R97" s="42"/>
      <c r="S97" s="42"/>
      <c r="T97" s="42"/>
    </row>
    <row r="98" spans="1:20" x14ac:dyDescent="0.25">
      <c r="A98" s="5" t="s">
        <v>116</v>
      </c>
      <c r="B98" s="40">
        <v>1</v>
      </c>
      <c r="C98" s="42">
        <v>4.34</v>
      </c>
      <c r="D98" s="42">
        <v>13.17</v>
      </c>
      <c r="E98" s="42">
        <v>16.28</v>
      </c>
      <c r="F98" s="42">
        <v>5.89</v>
      </c>
      <c r="G98" s="42">
        <v>1.78</v>
      </c>
      <c r="H98" s="42">
        <v>6.31</v>
      </c>
      <c r="I98" s="42">
        <v>2.25</v>
      </c>
      <c r="J98" s="42"/>
      <c r="K98" s="42">
        <v>0.36</v>
      </c>
      <c r="L98" s="42"/>
      <c r="M98" s="42">
        <f t="shared" si="2"/>
        <v>50.38</v>
      </c>
      <c r="N98" s="42">
        <v>5.55</v>
      </c>
      <c r="O98" s="42">
        <v>10.48</v>
      </c>
      <c r="P98" s="42">
        <v>19.239999999999998</v>
      </c>
      <c r="Q98" s="42">
        <f t="shared" si="3"/>
        <v>85.649999999999991</v>
      </c>
      <c r="R98" s="42"/>
      <c r="S98" s="42"/>
      <c r="T98" s="42"/>
    </row>
    <row r="99" spans="1:20" x14ac:dyDescent="0.25">
      <c r="A99" s="5" t="s">
        <v>117</v>
      </c>
      <c r="B99" s="40">
        <v>38</v>
      </c>
      <c r="C99" s="42">
        <v>5240.59</v>
      </c>
      <c r="D99" s="42">
        <v>6829.91</v>
      </c>
      <c r="E99" s="42">
        <v>26417.59</v>
      </c>
      <c r="F99" s="42">
        <v>4381.4799999999996</v>
      </c>
      <c r="G99" s="42">
        <v>2491.4</v>
      </c>
      <c r="H99" s="42">
        <v>3092.81</v>
      </c>
      <c r="I99" s="42">
        <v>558.41999999999996</v>
      </c>
      <c r="J99" s="42">
        <v>3770.75</v>
      </c>
      <c r="K99" s="42">
        <v>841.71</v>
      </c>
      <c r="L99" s="42">
        <v>1116.83</v>
      </c>
      <c r="M99" s="42">
        <f t="shared" si="2"/>
        <v>54741.489999999991</v>
      </c>
      <c r="N99" s="42">
        <v>7110.63</v>
      </c>
      <c r="O99" s="42">
        <v>10948.25</v>
      </c>
      <c r="P99" s="42">
        <v>5854.16</v>
      </c>
      <c r="Q99" s="42">
        <f t="shared" si="3"/>
        <v>78654.53</v>
      </c>
      <c r="R99" s="42"/>
      <c r="S99" s="42"/>
      <c r="T99" s="42"/>
    </row>
    <row r="100" spans="1:20" x14ac:dyDescent="0.25">
      <c r="A100" s="5" t="s">
        <v>118</v>
      </c>
      <c r="B100" s="40">
        <v>108</v>
      </c>
      <c r="C100" s="42">
        <v>9977.25</v>
      </c>
      <c r="D100" s="42">
        <v>8930.89</v>
      </c>
      <c r="E100" s="42">
        <v>44684.14</v>
      </c>
      <c r="F100" s="42">
        <v>11694.55</v>
      </c>
      <c r="G100" s="42">
        <v>2862.3</v>
      </c>
      <c r="H100" s="42">
        <v>1635.61</v>
      </c>
      <c r="I100" s="42">
        <v>736.1</v>
      </c>
      <c r="J100" s="42"/>
      <c r="K100" s="42"/>
      <c r="L100" s="42">
        <v>163.44999999999999</v>
      </c>
      <c r="M100" s="42">
        <f t="shared" si="2"/>
        <v>80684.290000000008</v>
      </c>
      <c r="N100" s="42">
        <v>10265.52</v>
      </c>
      <c r="O100" s="42">
        <v>16136.93</v>
      </c>
      <c r="P100" s="42">
        <v>9580.43</v>
      </c>
      <c r="Q100" s="42">
        <f t="shared" si="3"/>
        <v>116667.17000000001</v>
      </c>
      <c r="R100" s="42"/>
      <c r="S100" s="42"/>
      <c r="T100" s="42"/>
    </row>
    <row r="101" spans="1:20" x14ac:dyDescent="0.25">
      <c r="A101" s="5" t="s">
        <v>119</v>
      </c>
      <c r="B101" s="40">
        <v>236</v>
      </c>
      <c r="C101" s="42">
        <v>43413.89</v>
      </c>
      <c r="D101" s="42">
        <v>47336.800000000003</v>
      </c>
      <c r="E101" s="42">
        <v>197561.09</v>
      </c>
      <c r="F101" s="42">
        <v>34370.25</v>
      </c>
      <c r="G101" s="42">
        <v>20752.509999999998</v>
      </c>
      <c r="H101" s="42">
        <v>8888.44</v>
      </c>
      <c r="I101" s="42">
        <v>1646.47</v>
      </c>
      <c r="J101" s="42"/>
      <c r="K101" s="42">
        <v>87.89</v>
      </c>
      <c r="L101" s="42">
        <v>11124.11</v>
      </c>
      <c r="M101" s="42">
        <f t="shared" si="2"/>
        <v>365181.45</v>
      </c>
      <c r="N101" s="42">
        <v>44826.1</v>
      </c>
      <c r="O101" s="42">
        <v>71390.45</v>
      </c>
      <c r="P101" s="42">
        <v>42109.84</v>
      </c>
      <c r="Q101" s="42">
        <f t="shared" si="3"/>
        <v>523507.83999999997</v>
      </c>
      <c r="R101" s="42"/>
      <c r="S101" s="42"/>
      <c r="T101" s="42"/>
    </row>
    <row r="102" spans="1:20" x14ac:dyDescent="0.25">
      <c r="A102" s="5" t="s">
        <v>120</v>
      </c>
      <c r="B102" s="40">
        <v>47</v>
      </c>
      <c r="C102" s="42">
        <v>4220.6400000000003</v>
      </c>
      <c r="D102" s="42">
        <v>3494.16</v>
      </c>
      <c r="E102" s="42">
        <v>13492.14</v>
      </c>
      <c r="F102" s="42">
        <v>1729.76</v>
      </c>
      <c r="G102" s="42">
        <v>1729.76</v>
      </c>
      <c r="H102" s="42">
        <v>1148.55</v>
      </c>
      <c r="I102" s="42"/>
      <c r="J102" s="42"/>
      <c r="K102" s="42">
        <v>3.67</v>
      </c>
      <c r="L102" s="42"/>
      <c r="M102" s="42">
        <f t="shared" si="2"/>
        <v>25818.679999999993</v>
      </c>
      <c r="N102" s="42">
        <v>3412.23</v>
      </c>
      <c r="O102" s="42">
        <v>5163.7299999999996</v>
      </c>
      <c r="P102" s="42">
        <v>3051.89</v>
      </c>
      <c r="Q102" s="42">
        <f t="shared" si="3"/>
        <v>37446.529999999992</v>
      </c>
      <c r="R102" s="42"/>
      <c r="S102" s="42"/>
      <c r="T102" s="42"/>
    </row>
    <row r="103" spans="1:20" x14ac:dyDescent="0.25">
      <c r="A103" s="5" t="s">
        <v>121</v>
      </c>
      <c r="B103" s="40">
        <v>156</v>
      </c>
      <c r="C103" s="42">
        <v>12667.28</v>
      </c>
      <c r="D103" s="42">
        <v>5295.45</v>
      </c>
      <c r="E103" s="42">
        <v>45788.7</v>
      </c>
      <c r="F103" s="42">
        <v>6752.5</v>
      </c>
      <c r="G103" s="42">
        <v>3114.92</v>
      </c>
      <c r="H103" s="42">
        <v>1453.65</v>
      </c>
      <c r="I103" s="42"/>
      <c r="J103" s="42"/>
      <c r="K103" s="42"/>
      <c r="L103" s="42"/>
      <c r="M103" s="42">
        <f t="shared" si="2"/>
        <v>75072.499999999985</v>
      </c>
      <c r="N103" s="42">
        <v>9474.09</v>
      </c>
      <c r="O103" s="42">
        <v>15326.53</v>
      </c>
      <c r="P103" s="42">
        <v>12187.34</v>
      </c>
      <c r="Q103" s="42">
        <f t="shared" si="3"/>
        <v>112060.45999999998</v>
      </c>
      <c r="R103" s="42"/>
      <c r="S103" s="42"/>
      <c r="T103" s="42"/>
    </row>
    <row r="104" spans="1:20" x14ac:dyDescent="0.25">
      <c r="A104" s="5" t="s">
        <v>122</v>
      </c>
      <c r="B104" s="40">
        <v>8</v>
      </c>
      <c r="C104" s="42">
        <v>438.21</v>
      </c>
      <c r="D104" s="42">
        <v>557.71</v>
      </c>
      <c r="E104" s="42">
        <v>2169.4899999999998</v>
      </c>
      <c r="F104" s="42">
        <v>531.61</v>
      </c>
      <c r="G104" s="42">
        <v>287.36</v>
      </c>
      <c r="H104" s="42">
        <v>513.64</v>
      </c>
      <c r="I104" s="42">
        <v>143.31</v>
      </c>
      <c r="J104" s="42"/>
      <c r="K104" s="42"/>
      <c r="L104" s="42"/>
      <c r="M104" s="42">
        <f t="shared" si="2"/>
        <v>4641.3300000000008</v>
      </c>
      <c r="N104" s="42">
        <v>609.77</v>
      </c>
      <c r="O104" s="42">
        <v>912.26</v>
      </c>
      <c r="P104" s="42">
        <v>576.14</v>
      </c>
      <c r="Q104" s="42">
        <f t="shared" si="3"/>
        <v>6739.5000000000009</v>
      </c>
      <c r="R104" s="42"/>
      <c r="S104" s="42"/>
      <c r="T104" s="42"/>
    </row>
    <row r="105" spans="1:20" x14ac:dyDescent="0.25">
      <c r="A105" s="5" t="s">
        <v>123</v>
      </c>
      <c r="B105" s="40">
        <v>59</v>
      </c>
      <c r="C105" s="42">
        <v>3649.76</v>
      </c>
      <c r="D105" s="42">
        <v>2695.46</v>
      </c>
      <c r="E105" s="42">
        <v>12116.06</v>
      </c>
      <c r="F105" s="42">
        <v>2213.79</v>
      </c>
      <c r="G105" s="42">
        <v>1794.97</v>
      </c>
      <c r="H105" s="42">
        <v>1136.82</v>
      </c>
      <c r="I105" s="42">
        <v>269.26</v>
      </c>
      <c r="J105" s="42"/>
      <c r="K105" s="42">
        <v>10.51</v>
      </c>
      <c r="L105" s="42"/>
      <c r="M105" s="42">
        <f t="shared" si="2"/>
        <v>23886.629999999997</v>
      </c>
      <c r="N105" s="42">
        <v>3141.4</v>
      </c>
      <c r="O105" s="42">
        <v>4820.1099999999997</v>
      </c>
      <c r="P105" s="42">
        <v>3236.11</v>
      </c>
      <c r="Q105" s="42">
        <f t="shared" si="3"/>
        <v>35084.25</v>
      </c>
      <c r="R105" s="42"/>
      <c r="S105" s="42"/>
      <c r="T105" s="42"/>
    </row>
    <row r="106" spans="1:20" x14ac:dyDescent="0.25">
      <c r="A106" s="5" t="s">
        <v>124</v>
      </c>
      <c r="B106" s="40">
        <v>96</v>
      </c>
      <c r="C106" s="42">
        <v>10930.05</v>
      </c>
      <c r="D106" s="42">
        <v>6661.71</v>
      </c>
      <c r="E106" s="42">
        <v>50887.64</v>
      </c>
      <c r="F106" s="42">
        <v>8869.5400000000009</v>
      </c>
      <c r="G106" s="42">
        <v>4031.49</v>
      </c>
      <c r="H106" s="42"/>
      <c r="I106" s="42"/>
      <c r="J106" s="42"/>
      <c r="K106" s="42"/>
      <c r="L106" s="42">
        <v>5.91</v>
      </c>
      <c r="M106" s="42">
        <f t="shared" si="2"/>
        <v>81386.340000000011</v>
      </c>
      <c r="N106" s="42">
        <v>10786.6</v>
      </c>
      <c r="O106" s="42">
        <v>16373.38</v>
      </c>
      <c r="P106" s="42">
        <v>9530.6200000000008</v>
      </c>
      <c r="Q106" s="42">
        <f t="shared" si="3"/>
        <v>118076.94000000002</v>
      </c>
      <c r="R106" s="42"/>
      <c r="S106" s="42"/>
      <c r="T106" s="42"/>
    </row>
    <row r="107" spans="1:20" x14ac:dyDescent="0.25">
      <c r="A107" s="5" t="s">
        <v>125</v>
      </c>
      <c r="B107" s="40">
        <v>58</v>
      </c>
      <c r="C107" s="42">
        <v>3747.51</v>
      </c>
      <c r="D107" s="42">
        <v>2812.03</v>
      </c>
      <c r="E107" s="42">
        <v>15481.48</v>
      </c>
      <c r="F107" s="42">
        <v>1873.78</v>
      </c>
      <c r="G107" s="42">
        <v>1382.36</v>
      </c>
      <c r="H107" s="42">
        <v>982.97</v>
      </c>
      <c r="I107" s="42">
        <v>276.45</v>
      </c>
      <c r="J107" s="42">
        <v>1750.86</v>
      </c>
      <c r="K107" s="42">
        <v>3.79</v>
      </c>
      <c r="L107" s="42">
        <v>2027.29</v>
      </c>
      <c r="M107" s="42">
        <f t="shared" si="2"/>
        <v>30338.520000000004</v>
      </c>
      <c r="N107" s="42">
        <v>3947.28</v>
      </c>
      <c r="O107" s="42">
        <v>6032.88</v>
      </c>
      <c r="P107" s="42">
        <v>3538.48</v>
      </c>
      <c r="Q107" s="42">
        <f t="shared" si="3"/>
        <v>43857.16</v>
      </c>
      <c r="R107" s="42"/>
      <c r="S107" s="42"/>
      <c r="T107" s="42"/>
    </row>
    <row r="108" spans="1:20" x14ac:dyDescent="0.25">
      <c r="A108" s="5" t="s">
        <v>126</v>
      </c>
      <c r="B108" s="40">
        <v>108</v>
      </c>
      <c r="C108" s="42">
        <v>17320.560000000001</v>
      </c>
      <c r="D108" s="42">
        <v>11240.08</v>
      </c>
      <c r="E108" s="42">
        <v>67578.45</v>
      </c>
      <c r="F108" s="42">
        <v>8376.32</v>
      </c>
      <c r="G108" s="42">
        <v>3123.42</v>
      </c>
      <c r="H108" s="42">
        <v>2569.6999999999998</v>
      </c>
      <c r="I108" s="42"/>
      <c r="J108" s="42"/>
      <c r="K108" s="42"/>
      <c r="L108" s="42"/>
      <c r="M108" s="42">
        <f t="shared" si="2"/>
        <v>110208.53</v>
      </c>
      <c r="N108" s="42">
        <v>13702.03</v>
      </c>
      <c r="O108" s="42">
        <v>21912.080000000002</v>
      </c>
      <c r="P108" s="42">
        <v>12468.01</v>
      </c>
      <c r="Q108" s="42">
        <f t="shared" si="3"/>
        <v>158290.65000000002</v>
      </c>
      <c r="R108" s="42"/>
      <c r="S108" s="42"/>
      <c r="T108" s="42"/>
    </row>
    <row r="109" spans="1:20" x14ac:dyDescent="0.25">
      <c r="A109" s="5" t="s">
        <v>127</v>
      </c>
      <c r="B109" s="40">
        <v>94</v>
      </c>
      <c r="C109" s="42">
        <v>11807.92</v>
      </c>
      <c r="D109" s="42">
        <v>11398.5</v>
      </c>
      <c r="E109" s="42">
        <v>69202.17</v>
      </c>
      <c r="F109" s="42">
        <v>3387.5</v>
      </c>
      <c r="G109" s="42">
        <v>3629.46</v>
      </c>
      <c r="H109" s="42">
        <v>2003.45</v>
      </c>
      <c r="I109" s="42">
        <v>967.86</v>
      </c>
      <c r="J109" s="42"/>
      <c r="K109" s="42">
        <v>6585.95</v>
      </c>
      <c r="L109" s="42">
        <v>3393.53</v>
      </c>
      <c r="M109" s="42">
        <f t="shared" si="2"/>
        <v>112376.34</v>
      </c>
      <c r="N109" s="42">
        <v>13196.25</v>
      </c>
      <c r="O109" s="42">
        <v>22512.9</v>
      </c>
      <c r="P109" s="42">
        <v>12572.4</v>
      </c>
      <c r="Q109" s="42">
        <f t="shared" si="3"/>
        <v>160657.88999999998</v>
      </c>
      <c r="R109" s="42"/>
      <c r="S109" s="42"/>
      <c r="T109" s="42"/>
    </row>
    <row r="110" spans="1:20" x14ac:dyDescent="0.25">
      <c r="A110" s="5" t="s">
        <v>128</v>
      </c>
      <c r="B110" s="40">
        <v>48</v>
      </c>
      <c r="C110" s="42">
        <v>6624.04</v>
      </c>
      <c r="D110" s="42">
        <v>6181.04</v>
      </c>
      <c r="E110" s="42">
        <v>27473.48</v>
      </c>
      <c r="F110" s="42">
        <v>3203.4</v>
      </c>
      <c r="G110" s="42"/>
      <c r="H110" s="42">
        <v>1085.9100000000001</v>
      </c>
      <c r="I110" s="42"/>
      <c r="J110" s="42">
        <v>2117.5</v>
      </c>
      <c r="K110" s="42"/>
      <c r="L110" s="42"/>
      <c r="M110" s="42">
        <f t="shared" si="2"/>
        <v>46685.37</v>
      </c>
      <c r="N110" s="42">
        <v>5900.71</v>
      </c>
      <c r="O110" s="42">
        <v>9337.11</v>
      </c>
      <c r="P110" s="42">
        <v>5340.52</v>
      </c>
      <c r="Q110" s="42">
        <f t="shared" si="3"/>
        <v>67263.710000000006</v>
      </c>
      <c r="R110" s="42"/>
      <c r="S110" s="42"/>
      <c r="T110" s="42"/>
    </row>
    <row r="111" spans="1:20" x14ac:dyDescent="0.25">
      <c r="A111" s="5" t="s">
        <v>129</v>
      </c>
      <c r="B111" s="40">
        <v>44</v>
      </c>
      <c r="C111" s="42">
        <v>3741.82</v>
      </c>
      <c r="D111" s="42">
        <v>2830.97</v>
      </c>
      <c r="E111" s="42">
        <v>18831.66</v>
      </c>
      <c r="F111" s="42">
        <v>1410.83</v>
      </c>
      <c r="G111" s="42">
        <v>1226.82</v>
      </c>
      <c r="H111" s="42">
        <v>1051.98</v>
      </c>
      <c r="I111" s="42">
        <v>266.83</v>
      </c>
      <c r="J111" s="42"/>
      <c r="K111" s="42">
        <v>1302.17</v>
      </c>
      <c r="L111" s="42">
        <v>24.15</v>
      </c>
      <c r="M111" s="42">
        <f t="shared" si="2"/>
        <v>30687.230000000003</v>
      </c>
      <c r="N111" s="42">
        <v>3899.59</v>
      </c>
      <c r="O111" s="42">
        <v>6199.09</v>
      </c>
      <c r="P111" s="42">
        <v>3715.51</v>
      </c>
      <c r="Q111" s="42">
        <f t="shared" si="3"/>
        <v>44501.420000000006</v>
      </c>
      <c r="R111" s="42"/>
      <c r="S111" s="42"/>
      <c r="T111" s="42"/>
    </row>
    <row r="112" spans="1:20" x14ac:dyDescent="0.25">
      <c r="A112" s="5" t="s">
        <v>130</v>
      </c>
      <c r="B112" s="40">
        <v>47</v>
      </c>
      <c r="C112" s="42">
        <v>5015.71</v>
      </c>
      <c r="D112" s="42">
        <v>3289</v>
      </c>
      <c r="E112" s="42">
        <v>10859.11</v>
      </c>
      <c r="F112" s="42">
        <v>2507.88</v>
      </c>
      <c r="G112" s="42">
        <v>1644.49</v>
      </c>
      <c r="H112" s="42">
        <v>1521.19</v>
      </c>
      <c r="I112" s="42"/>
      <c r="J112" s="42"/>
      <c r="K112" s="42"/>
      <c r="L112" s="42">
        <v>3331.1</v>
      </c>
      <c r="M112" s="42">
        <f t="shared" si="2"/>
        <v>28168.48</v>
      </c>
      <c r="N112" s="42">
        <v>3789.91</v>
      </c>
      <c r="O112" s="42">
        <v>5633.69</v>
      </c>
      <c r="P112" s="42">
        <v>3286.89</v>
      </c>
      <c r="Q112" s="42">
        <f t="shared" si="3"/>
        <v>40878.97</v>
      </c>
      <c r="R112" s="42"/>
      <c r="S112" s="42"/>
      <c r="T112" s="42"/>
    </row>
    <row r="113" spans="1:20" x14ac:dyDescent="0.25">
      <c r="A113" s="5" t="s">
        <v>131</v>
      </c>
      <c r="B113" s="40">
        <v>30</v>
      </c>
      <c r="C113" s="42">
        <v>2024.46</v>
      </c>
      <c r="D113" s="42">
        <v>1822.81</v>
      </c>
      <c r="E113" s="42">
        <v>6421.85</v>
      </c>
      <c r="F113" s="42">
        <v>796.51</v>
      </c>
      <c r="G113" s="42">
        <v>713.55</v>
      </c>
      <c r="H113" s="42">
        <v>613.95000000000005</v>
      </c>
      <c r="I113" s="42">
        <v>165.94</v>
      </c>
      <c r="J113" s="42"/>
      <c r="K113" s="42"/>
      <c r="L113" s="42">
        <v>82.02</v>
      </c>
      <c r="M113" s="42">
        <f t="shared" si="2"/>
        <v>12641.090000000002</v>
      </c>
      <c r="N113" s="42">
        <v>1604.26</v>
      </c>
      <c r="O113" s="42">
        <v>2552.21</v>
      </c>
      <c r="P113" s="42">
        <v>1696.13</v>
      </c>
      <c r="Q113" s="42">
        <f t="shared" si="3"/>
        <v>18493.690000000002</v>
      </c>
      <c r="R113" s="42"/>
      <c r="S113" s="42"/>
      <c r="T113" s="42"/>
    </row>
    <row r="114" spans="1:20" x14ac:dyDescent="0.25">
      <c r="A114" s="5" t="s">
        <v>132</v>
      </c>
      <c r="B114" s="40">
        <v>65</v>
      </c>
      <c r="C114" s="42">
        <v>3166.94</v>
      </c>
      <c r="D114" s="42">
        <v>2469.87</v>
      </c>
      <c r="E114" s="42">
        <v>13113.63</v>
      </c>
      <c r="F114" s="42">
        <v>1008.69</v>
      </c>
      <c r="G114" s="42">
        <v>2074.8200000000002</v>
      </c>
      <c r="H114" s="42"/>
      <c r="I114" s="42"/>
      <c r="J114" s="42"/>
      <c r="K114" s="42">
        <v>1606.02</v>
      </c>
      <c r="L114" s="42"/>
      <c r="M114" s="42">
        <f t="shared" si="2"/>
        <v>23439.969999999998</v>
      </c>
      <c r="N114" s="42">
        <v>2992.47</v>
      </c>
      <c r="O114" s="42">
        <v>4737.17</v>
      </c>
      <c r="P114" s="42">
        <v>3274.6</v>
      </c>
      <c r="Q114" s="42">
        <f t="shared" si="3"/>
        <v>34444.21</v>
      </c>
      <c r="R114" s="42"/>
      <c r="S114" s="42"/>
      <c r="T114" s="42"/>
    </row>
    <row r="115" spans="1:20" x14ac:dyDescent="0.25">
      <c r="A115" s="5" t="s">
        <v>133</v>
      </c>
      <c r="B115" s="40">
        <v>13</v>
      </c>
      <c r="C115" s="42">
        <v>1330.28</v>
      </c>
      <c r="D115" s="42">
        <v>980.51</v>
      </c>
      <c r="E115" s="42">
        <v>6891.28</v>
      </c>
      <c r="F115" s="42">
        <v>1297.58</v>
      </c>
      <c r="G115" s="42">
        <v>436.16</v>
      </c>
      <c r="H115" s="42">
        <v>457.96</v>
      </c>
      <c r="I115" s="42"/>
      <c r="J115" s="42"/>
      <c r="K115" s="42"/>
      <c r="L115" s="42">
        <v>40.06</v>
      </c>
      <c r="M115" s="42">
        <f t="shared" si="2"/>
        <v>11433.829999999998</v>
      </c>
      <c r="N115" s="42">
        <v>1524.03</v>
      </c>
      <c r="O115" s="42">
        <v>2260.7600000000002</v>
      </c>
      <c r="P115" s="42">
        <v>1325.38</v>
      </c>
      <c r="Q115" s="42">
        <f t="shared" si="3"/>
        <v>16544</v>
      </c>
      <c r="R115" s="42"/>
      <c r="S115" s="42"/>
      <c r="T115" s="42"/>
    </row>
    <row r="116" spans="1:20" x14ac:dyDescent="0.25">
      <c r="A116" s="5" t="s">
        <v>134</v>
      </c>
      <c r="B116" s="40">
        <v>74</v>
      </c>
      <c r="C116" s="42">
        <v>2104.91</v>
      </c>
      <c r="D116" s="42">
        <v>2014.13</v>
      </c>
      <c r="E116" s="42">
        <v>9558.36</v>
      </c>
      <c r="F116" s="42">
        <v>1328.57</v>
      </c>
      <c r="G116" s="42">
        <v>431.44</v>
      </c>
      <c r="H116" s="42">
        <v>690.14</v>
      </c>
      <c r="I116" s="42"/>
      <c r="J116" s="42"/>
      <c r="K116" s="42"/>
      <c r="L116" s="42">
        <v>5.25</v>
      </c>
      <c r="M116" s="42">
        <f t="shared" si="2"/>
        <v>16132.800000000001</v>
      </c>
      <c r="N116" s="42">
        <v>2048.3000000000002</v>
      </c>
      <c r="O116" s="42">
        <v>3285.45</v>
      </c>
      <c r="P116" s="42">
        <v>3048.53</v>
      </c>
      <c r="Q116" s="42">
        <f t="shared" si="3"/>
        <v>24515.08</v>
      </c>
      <c r="R116" s="42"/>
      <c r="S116" s="42"/>
      <c r="T116" s="42"/>
    </row>
    <row r="117" spans="1:20" x14ac:dyDescent="0.25">
      <c r="A117" s="5" t="s">
        <v>135</v>
      </c>
      <c r="B117" s="40">
        <v>130</v>
      </c>
      <c r="C117" s="42">
        <v>24333.4</v>
      </c>
      <c r="D117" s="42">
        <v>32560.81</v>
      </c>
      <c r="E117" s="42">
        <v>62387.94</v>
      </c>
      <c r="F117" s="42">
        <v>8377.0499999999993</v>
      </c>
      <c r="G117" s="42">
        <v>3989.09</v>
      </c>
      <c r="H117" s="42">
        <v>1196.7</v>
      </c>
      <c r="I117" s="42">
        <v>598.37</v>
      </c>
      <c r="J117" s="42"/>
      <c r="K117" s="42">
        <v>3598.29</v>
      </c>
      <c r="L117" s="42">
        <v>980.25</v>
      </c>
      <c r="M117" s="42">
        <f t="shared" si="2"/>
        <v>138021.90000000002</v>
      </c>
      <c r="N117" s="42">
        <v>16532.34</v>
      </c>
      <c r="O117" s="42">
        <v>27175.34</v>
      </c>
      <c r="P117" s="42">
        <v>15407.72</v>
      </c>
      <c r="Q117" s="42">
        <f t="shared" si="3"/>
        <v>197137.30000000002</v>
      </c>
      <c r="R117" s="42"/>
      <c r="S117" s="42"/>
      <c r="T117" s="42"/>
    </row>
    <row r="118" spans="1:20" x14ac:dyDescent="0.25">
      <c r="A118" s="5" t="s">
        <v>136</v>
      </c>
      <c r="B118" s="40">
        <v>27</v>
      </c>
      <c r="C118" s="42">
        <v>2020.23</v>
      </c>
      <c r="D118" s="42">
        <v>1734.05</v>
      </c>
      <c r="E118" s="42">
        <v>9753.4</v>
      </c>
      <c r="F118" s="42">
        <v>1341.31</v>
      </c>
      <c r="G118" s="42">
        <v>379.2</v>
      </c>
      <c r="H118" s="42">
        <v>1308.18</v>
      </c>
      <c r="I118" s="42"/>
      <c r="J118" s="42"/>
      <c r="K118" s="42">
        <v>1203.06</v>
      </c>
      <c r="L118" s="42">
        <v>185.83</v>
      </c>
      <c r="M118" s="42">
        <f t="shared" si="2"/>
        <v>17925.260000000002</v>
      </c>
      <c r="N118" s="42">
        <v>2216.9299999999998</v>
      </c>
      <c r="O118" s="42">
        <v>3547.25</v>
      </c>
      <c r="P118" s="42">
        <v>2151.62</v>
      </c>
      <c r="Q118" s="42">
        <f t="shared" si="3"/>
        <v>25841.06</v>
      </c>
      <c r="R118" s="42"/>
      <c r="S118" s="42"/>
      <c r="T118" s="42"/>
    </row>
    <row r="119" spans="1:20" x14ac:dyDescent="0.25">
      <c r="A119" s="5" t="s">
        <v>137</v>
      </c>
      <c r="B119" s="40">
        <v>46</v>
      </c>
      <c r="C119" s="42">
        <v>3299.87</v>
      </c>
      <c r="D119" s="42">
        <v>3408.05</v>
      </c>
      <c r="E119" s="42">
        <v>11603.59</v>
      </c>
      <c r="F119" s="42">
        <v>2515.4699999999998</v>
      </c>
      <c r="G119" s="42">
        <v>811.47</v>
      </c>
      <c r="H119" s="42">
        <v>2569.5700000000002</v>
      </c>
      <c r="I119" s="42">
        <v>405.71</v>
      </c>
      <c r="J119" s="42">
        <v>173.57</v>
      </c>
      <c r="K119" s="42"/>
      <c r="L119" s="42">
        <v>9.43</v>
      </c>
      <c r="M119" s="42">
        <f t="shared" si="2"/>
        <v>24796.730000000003</v>
      </c>
      <c r="N119" s="42">
        <v>3279.52</v>
      </c>
      <c r="O119" s="42">
        <v>5051.3500000000004</v>
      </c>
      <c r="P119" s="42">
        <v>3169.68</v>
      </c>
      <c r="Q119" s="42">
        <f t="shared" si="3"/>
        <v>36297.280000000006</v>
      </c>
      <c r="R119" s="42"/>
      <c r="S119" s="42"/>
      <c r="T119" s="42"/>
    </row>
    <row r="120" spans="1:20" x14ac:dyDescent="0.25">
      <c r="A120" s="5" t="s">
        <v>138</v>
      </c>
      <c r="B120" s="40">
        <v>17</v>
      </c>
      <c r="C120" s="42">
        <v>1278.7</v>
      </c>
      <c r="D120" s="42">
        <v>1949.89</v>
      </c>
      <c r="E120" s="42">
        <v>5093.7299999999996</v>
      </c>
      <c r="F120" s="42">
        <v>649.84</v>
      </c>
      <c r="G120" s="42">
        <v>288.27</v>
      </c>
      <c r="H120" s="42">
        <v>618.42999999999995</v>
      </c>
      <c r="I120" s="42"/>
      <c r="J120" s="42">
        <v>267.02999999999997</v>
      </c>
      <c r="K120" s="42">
        <v>5.27</v>
      </c>
      <c r="L120" s="42"/>
      <c r="M120" s="42">
        <f t="shared" si="2"/>
        <v>10151.160000000002</v>
      </c>
      <c r="N120" s="42">
        <v>1305.26</v>
      </c>
      <c r="O120" s="42">
        <v>2011.68</v>
      </c>
      <c r="P120" s="42">
        <v>1177.8399999999999</v>
      </c>
      <c r="Q120" s="42">
        <f t="shared" si="3"/>
        <v>14645.940000000002</v>
      </c>
      <c r="R120" s="42"/>
      <c r="S120" s="42"/>
      <c r="T120" s="42"/>
    </row>
    <row r="121" spans="1:20" x14ac:dyDescent="0.25">
      <c r="A121" s="5" t="s">
        <v>139</v>
      </c>
      <c r="B121" s="40">
        <v>123</v>
      </c>
      <c r="C121" s="42">
        <v>13395.2</v>
      </c>
      <c r="D121" s="42">
        <v>10040.120000000001</v>
      </c>
      <c r="E121" s="42">
        <v>32870.629999999997</v>
      </c>
      <c r="F121" s="42">
        <v>5709.43</v>
      </c>
      <c r="G121" s="42">
        <v>4391.8599999999997</v>
      </c>
      <c r="H121" s="42">
        <v>5819.23</v>
      </c>
      <c r="I121" s="42">
        <v>1537.2</v>
      </c>
      <c r="J121" s="42"/>
      <c r="K121" s="42"/>
      <c r="L121" s="42">
        <v>24.78</v>
      </c>
      <c r="M121" s="42">
        <f t="shared" si="2"/>
        <v>73788.449999999983</v>
      </c>
      <c r="N121" s="42">
        <v>9567.15</v>
      </c>
      <c r="O121" s="42">
        <v>15047.55</v>
      </c>
      <c r="P121" s="42">
        <v>9076.25</v>
      </c>
      <c r="Q121" s="42">
        <f t="shared" si="3"/>
        <v>107479.39999999998</v>
      </c>
      <c r="R121" s="42"/>
      <c r="S121" s="42"/>
      <c r="T121" s="42"/>
    </row>
    <row r="122" spans="1:20" x14ac:dyDescent="0.25">
      <c r="A122" s="5" t="s">
        <v>140</v>
      </c>
      <c r="B122" s="40">
        <v>7</v>
      </c>
      <c r="C122" s="42">
        <v>89.67</v>
      </c>
      <c r="D122" s="42">
        <v>127.33</v>
      </c>
      <c r="E122" s="42">
        <v>252.82</v>
      </c>
      <c r="F122" s="42">
        <v>77.17</v>
      </c>
      <c r="G122" s="42">
        <v>29.39</v>
      </c>
      <c r="H122" s="42">
        <v>84.53</v>
      </c>
      <c r="I122" s="42">
        <v>34.17</v>
      </c>
      <c r="J122" s="42"/>
      <c r="K122" s="42"/>
      <c r="L122" s="42"/>
      <c r="M122" s="42">
        <f t="shared" si="2"/>
        <v>695.07999999999993</v>
      </c>
      <c r="N122" s="42">
        <v>82.77</v>
      </c>
      <c r="O122" s="42">
        <v>139.01</v>
      </c>
      <c r="P122" s="42">
        <v>272.51</v>
      </c>
      <c r="Q122" s="42">
        <f t="shared" si="3"/>
        <v>1189.3699999999999</v>
      </c>
      <c r="R122" s="42"/>
      <c r="S122" s="42"/>
      <c r="T122" s="42"/>
    </row>
    <row r="123" spans="1:20" x14ac:dyDescent="0.25">
      <c r="A123" s="7" t="s">
        <v>155</v>
      </c>
      <c r="B123" s="40">
        <v>16</v>
      </c>
      <c r="C123" s="42">
        <v>2603.38</v>
      </c>
      <c r="D123" s="42">
        <v>1480.31</v>
      </c>
      <c r="E123" s="42">
        <v>13885.62</v>
      </c>
      <c r="F123" s="42">
        <v>1387.71</v>
      </c>
      <c r="G123" s="42">
        <v>384.77</v>
      </c>
      <c r="H123" s="42">
        <v>319.51</v>
      </c>
      <c r="I123" s="42"/>
      <c r="J123" s="42"/>
      <c r="K123" s="42">
        <v>557.34</v>
      </c>
      <c r="L123" s="42"/>
      <c r="M123" s="42">
        <f t="shared" si="2"/>
        <v>20618.64</v>
      </c>
      <c r="N123" s="42">
        <v>2569.5100000000002</v>
      </c>
      <c r="O123" s="42">
        <v>4053.33</v>
      </c>
      <c r="P123" s="42">
        <v>2241.79</v>
      </c>
      <c r="Q123" s="42">
        <f t="shared" si="3"/>
        <v>29483.270000000004</v>
      </c>
      <c r="R123" s="42"/>
      <c r="S123" s="42"/>
      <c r="T123" s="42"/>
    </row>
    <row r="124" spans="1:20" x14ac:dyDescent="0.25">
      <c r="A124" s="5" t="s">
        <v>141</v>
      </c>
      <c r="B124" s="29">
        <f>SUM(B4:B123)</f>
        <v>10776</v>
      </c>
      <c r="C124" s="30">
        <f t="shared" ref="C124:Q124" si="4">SUM(C4:C123)</f>
        <v>1203272.2599999993</v>
      </c>
      <c r="D124" s="30">
        <f t="shared" si="4"/>
        <v>1458561.5799999996</v>
      </c>
      <c r="E124" s="30">
        <f t="shared" si="4"/>
        <v>5738814.5800000019</v>
      </c>
      <c r="F124" s="30">
        <f t="shared" si="4"/>
        <v>526478.01000000024</v>
      </c>
      <c r="G124" s="30">
        <f t="shared" si="4"/>
        <v>287254.73999999987</v>
      </c>
      <c r="H124" s="30">
        <f t="shared" si="4"/>
        <v>189027.64000000013</v>
      </c>
      <c r="I124" s="30">
        <f t="shared" si="4"/>
        <v>31519.229999999996</v>
      </c>
      <c r="J124" s="30">
        <f t="shared" si="4"/>
        <v>85768.679999999978</v>
      </c>
      <c r="K124" s="30">
        <f t="shared" si="4"/>
        <v>313191.00000000006</v>
      </c>
      <c r="L124" s="30">
        <f t="shared" si="4"/>
        <v>484575.35000000003</v>
      </c>
      <c r="M124" s="30">
        <f t="shared" si="4"/>
        <v>10318463.07</v>
      </c>
      <c r="N124" s="30">
        <f t="shared" si="4"/>
        <v>1236991.4000000001</v>
      </c>
      <c r="O124" s="30">
        <f t="shared" si="4"/>
        <v>2041630.5799999996</v>
      </c>
      <c r="P124" s="30">
        <f t="shared" si="4"/>
        <v>1253712.2399999998</v>
      </c>
      <c r="Q124" s="30">
        <f t="shared" si="4"/>
        <v>14850797.290000003</v>
      </c>
    </row>
    <row r="126" spans="1:20" x14ac:dyDescent="0.25">
      <c r="B126" s="43" t="s">
        <v>172</v>
      </c>
      <c r="C126" s="39"/>
      <c r="D126" s="39"/>
      <c r="E126" s="39"/>
      <c r="F126" s="39"/>
      <c r="G126" s="39"/>
      <c r="H126" s="39"/>
      <c r="I126" s="39"/>
      <c r="J126" s="39"/>
      <c r="K126" s="39"/>
      <c r="L126" s="39"/>
      <c r="M126" s="39"/>
      <c r="N126" s="39"/>
      <c r="O126" s="39"/>
      <c r="P126" s="39"/>
      <c r="Q126" s="39"/>
    </row>
    <row r="127" spans="1:20" x14ac:dyDescent="0.25">
      <c r="B127" s="44"/>
      <c r="C127" s="1"/>
      <c r="D127" s="1"/>
      <c r="E127" s="1"/>
      <c r="F127" s="1"/>
      <c r="G127" s="1"/>
      <c r="H127" s="1"/>
      <c r="I127" s="1"/>
      <c r="J127" s="1"/>
      <c r="K127" s="1"/>
      <c r="L127" s="1"/>
      <c r="M127" s="1"/>
      <c r="N127" s="1"/>
      <c r="O127" s="1"/>
    </row>
    <row r="128" spans="1:20" x14ac:dyDescent="0.25">
      <c r="B128" s="43" t="s">
        <v>178</v>
      </c>
      <c r="C128" s="1"/>
      <c r="D128" s="1"/>
      <c r="E128" s="1"/>
      <c r="F128" s="1"/>
      <c r="G128" s="1"/>
      <c r="H128" s="1"/>
      <c r="I128" s="1"/>
      <c r="J128" s="1"/>
      <c r="K128" s="1"/>
      <c r="L128" s="1"/>
      <c r="M128" s="1"/>
      <c r="N128" s="1"/>
      <c r="O128" s="1"/>
    </row>
    <row r="129" spans="1:15" x14ac:dyDescent="0.25">
      <c r="B129" s="43"/>
      <c r="C129" s="1"/>
      <c r="D129" s="1"/>
      <c r="E129" s="1"/>
      <c r="F129" s="1"/>
      <c r="G129" s="1"/>
      <c r="H129" s="1"/>
      <c r="I129" s="1"/>
      <c r="J129" s="1"/>
      <c r="K129" s="1"/>
      <c r="L129" s="1"/>
      <c r="M129" s="1"/>
      <c r="N129" s="1"/>
      <c r="O129" s="1"/>
    </row>
    <row r="130" spans="1:15" x14ac:dyDescent="0.25">
      <c r="B130" s="44" t="s">
        <v>171</v>
      </c>
      <c r="C130" s="1"/>
      <c r="D130" s="1"/>
      <c r="E130" s="1"/>
      <c r="F130" s="1"/>
      <c r="G130" s="17"/>
      <c r="H130" s="17"/>
      <c r="I130" s="17"/>
      <c r="J130" s="17"/>
      <c r="K130" s="17"/>
      <c r="L130" s="17"/>
      <c r="M130" s="17"/>
      <c r="N130" s="17"/>
      <c r="O130" s="17"/>
    </row>
    <row r="131" spans="1:15" x14ac:dyDescent="0.25">
      <c r="B131" s="44" t="s">
        <v>145</v>
      </c>
      <c r="C131" s="1"/>
      <c r="D131" s="1"/>
      <c r="E131" s="1"/>
      <c r="F131" s="1"/>
      <c r="G131" s="17"/>
      <c r="H131" s="17"/>
      <c r="I131" s="17"/>
      <c r="J131" s="17"/>
      <c r="K131" s="17"/>
      <c r="L131" s="17"/>
      <c r="M131" s="17"/>
      <c r="N131" s="17"/>
      <c r="O131" s="17"/>
    </row>
    <row r="132" spans="1:15" x14ac:dyDescent="0.25">
      <c r="B132" s="44" t="s">
        <v>144</v>
      </c>
      <c r="C132" s="1"/>
      <c r="D132" s="1"/>
      <c r="E132" s="1"/>
      <c r="F132" s="1"/>
      <c r="G132" s="17"/>
      <c r="H132" s="17"/>
      <c r="I132" s="17"/>
      <c r="J132" s="17"/>
      <c r="K132" s="17"/>
      <c r="L132" s="17"/>
      <c r="M132" s="17"/>
      <c r="N132" s="17"/>
      <c r="O132" s="17"/>
    </row>
    <row r="133" spans="1:15" x14ac:dyDescent="0.25">
      <c r="B133" s="44" t="s">
        <v>146</v>
      </c>
      <c r="C133" s="1"/>
      <c r="D133" s="1"/>
      <c r="E133" s="1"/>
      <c r="F133" s="1"/>
      <c r="G133" s="17"/>
      <c r="H133" s="17"/>
      <c r="I133" s="17"/>
      <c r="J133" s="17"/>
      <c r="K133" s="17"/>
      <c r="L133" s="17"/>
      <c r="M133" s="17"/>
      <c r="N133" s="17"/>
      <c r="O133" s="17"/>
    </row>
    <row r="134" spans="1:15" x14ac:dyDescent="0.25">
      <c r="A134" s="31"/>
    </row>
    <row r="139" spans="1:15" x14ac:dyDescent="0.25">
      <c r="A139" s="5"/>
    </row>
  </sheetData>
  <mergeCells count="1">
    <mergeCell ref="A1:Q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9"/>
  <sheetViews>
    <sheetView tabSelected="1" workbookViewId="0">
      <pane xSplit="1" ySplit="3" topLeftCell="B4" activePane="bottomRight" state="frozen"/>
      <selection pane="topRight" activeCell="B1" sqref="B1"/>
      <selection pane="bottomLeft" activeCell="A4" sqref="A4"/>
      <selection pane="bottomRight" activeCell="B4" sqref="B4"/>
    </sheetView>
  </sheetViews>
  <sheetFormatPr defaultRowHeight="15" x14ac:dyDescent="0.25"/>
  <cols>
    <col min="1" max="1" width="13.7109375" customWidth="1"/>
    <col min="2" max="2" width="12.5703125" style="40" customWidth="1"/>
    <col min="3" max="3" width="14.28515625" customWidth="1"/>
    <col min="4" max="4" width="13.5703125" customWidth="1"/>
    <col min="5" max="5" width="13.7109375" customWidth="1"/>
    <col min="6" max="7" width="12" customWidth="1"/>
    <col min="8" max="8" width="12.42578125" customWidth="1"/>
    <col min="9" max="9" width="14" customWidth="1"/>
    <col min="10" max="10" width="14.7109375" customWidth="1"/>
    <col min="11" max="11" width="12.140625" customWidth="1"/>
    <col min="12" max="12" width="17.5703125" customWidth="1"/>
    <col min="13" max="13" width="14.85546875" customWidth="1"/>
    <col min="14" max="14" width="14.28515625" customWidth="1"/>
    <col min="15" max="15" width="14.42578125" customWidth="1"/>
    <col min="16" max="16" width="14.85546875" customWidth="1"/>
    <col min="17" max="17" width="15.42578125" customWidth="1"/>
    <col min="18" max="18" width="10.140625" bestFit="1" customWidth="1"/>
  </cols>
  <sheetData>
    <row r="1" spans="1:20" ht="23.25" x14ac:dyDescent="0.35">
      <c r="A1" s="67" t="s">
        <v>184</v>
      </c>
      <c r="B1" s="67"/>
      <c r="C1" s="67"/>
      <c r="D1" s="67"/>
      <c r="E1" s="67"/>
      <c r="F1" s="67"/>
      <c r="G1" s="67"/>
      <c r="H1" s="67"/>
      <c r="I1" s="67"/>
      <c r="J1" s="67"/>
      <c r="K1" s="67"/>
      <c r="L1" s="67"/>
      <c r="M1" s="67"/>
      <c r="N1" s="67"/>
      <c r="O1" s="67"/>
      <c r="P1" s="67"/>
      <c r="Q1" s="67"/>
    </row>
    <row r="3" spans="1:20" ht="39" x14ac:dyDescent="0.25">
      <c r="A3" s="7" t="s">
        <v>0</v>
      </c>
      <c r="B3" s="26" t="s">
        <v>165</v>
      </c>
      <c r="C3" s="48" t="s">
        <v>3</v>
      </c>
      <c r="D3" s="48" t="s">
        <v>4</v>
      </c>
      <c r="E3" s="48" t="s">
        <v>5</v>
      </c>
      <c r="F3" s="48" t="s">
        <v>6</v>
      </c>
      <c r="G3" s="48" t="s">
        <v>7</v>
      </c>
      <c r="H3" s="48" t="s">
        <v>8</v>
      </c>
      <c r="I3" s="49" t="s">
        <v>160</v>
      </c>
      <c r="J3" s="48" t="s">
        <v>26</v>
      </c>
      <c r="K3" s="48" t="s">
        <v>10</v>
      </c>
      <c r="L3" s="8" t="s">
        <v>11</v>
      </c>
      <c r="M3" s="27" t="s">
        <v>181</v>
      </c>
      <c r="N3" s="27" t="s">
        <v>162</v>
      </c>
      <c r="O3" s="27" t="s">
        <v>163</v>
      </c>
      <c r="P3" s="27" t="s">
        <v>164</v>
      </c>
      <c r="Q3" s="27" t="s">
        <v>182</v>
      </c>
    </row>
    <row r="4" spans="1:20" ht="18.75" customHeight="1" x14ac:dyDescent="0.25">
      <c r="A4" s="5" t="s">
        <v>25</v>
      </c>
      <c r="B4" s="40">
        <v>25</v>
      </c>
      <c r="C4" s="42">
        <v>1359.98</v>
      </c>
      <c r="D4" s="42">
        <v>1832.93</v>
      </c>
      <c r="E4" s="42">
        <v>5763.28</v>
      </c>
      <c r="F4" s="42">
        <v>590.83000000000004</v>
      </c>
      <c r="G4" s="42">
        <v>334.42</v>
      </c>
      <c r="H4" s="42">
        <v>523.98</v>
      </c>
      <c r="I4" s="42">
        <v>189.55</v>
      </c>
      <c r="J4" s="42">
        <v>830.47</v>
      </c>
      <c r="K4" s="42">
        <v>1.93</v>
      </c>
      <c r="L4" s="42">
        <v>1114.74</v>
      </c>
      <c r="M4" s="42">
        <f>SUM(C4:L4)</f>
        <v>12542.109999999997</v>
      </c>
      <c r="N4" s="42">
        <v>1641.77</v>
      </c>
      <c r="O4" s="42">
        <v>2508.44</v>
      </c>
      <c r="P4" s="42">
        <v>1604.24</v>
      </c>
      <c r="Q4" s="42">
        <f>SUM(M4:P4)</f>
        <v>18296.559999999998</v>
      </c>
      <c r="R4" s="42"/>
      <c r="S4" s="42"/>
      <c r="T4" s="42"/>
    </row>
    <row r="5" spans="1:20" x14ac:dyDescent="0.25">
      <c r="A5" s="34" t="s">
        <v>27</v>
      </c>
      <c r="B5" s="50">
        <v>42</v>
      </c>
      <c r="C5" s="47">
        <f>SUM(2626.77-122.75)</f>
        <v>2504.02</v>
      </c>
      <c r="D5" s="47">
        <f>SUM(2401.58-99.62-20.93)</f>
        <v>2281.0300000000002</v>
      </c>
      <c r="E5" s="47">
        <f>SUM(12488.05-582)</f>
        <v>11906.05</v>
      </c>
      <c r="F5" s="47">
        <f>SUM(1916.25-89.54)</f>
        <v>1826.71</v>
      </c>
      <c r="G5" s="47">
        <f>SUM(1184.23-55.08)</f>
        <v>1129.1500000000001</v>
      </c>
      <c r="H5" s="47">
        <f>SUM(753.61-35.11)</f>
        <v>718.5</v>
      </c>
      <c r="I5" s="47">
        <f>SUM(430.62-20.12)</f>
        <v>410.5</v>
      </c>
      <c r="J5" s="47">
        <f>SUM(2110.04-98.6)</f>
        <v>2011.44</v>
      </c>
      <c r="K5" s="47">
        <f>SUM(4.63+1011.36-104.63)</f>
        <v>911.36</v>
      </c>
      <c r="L5" s="47"/>
      <c r="M5" s="47">
        <f t="shared" ref="M5:M67" si="0">SUM(C5:L5)</f>
        <v>23698.76</v>
      </c>
      <c r="N5" s="47">
        <f>SUM(3172.08-154.97)</f>
        <v>3017.11</v>
      </c>
      <c r="O5" s="47">
        <f>SUM(4976.41-244.88)</f>
        <v>4731.53</v>
      </c>
      <c r="P5" s="47">
        <f>SUM(2465.72+675-165.93)</f>
        <v>2974.79</v>
      </c>
      <c r="Q5" s="47">
        <f t="shared" ref="Q5:Q68" si="1">SUM(M5:P5)</f>
        <v>34422.189999999995</v>
      </c>
      <c r="R5" s="42"/>
      <c r="S5" s="42"/>
      <c r="T5" s="42"/>
    </row>
    <row r="6" spans="1:20" s="37" customFormat="1" x14ac:dyDescent="0.25">
      <c r="A6" s="34" t="s">
        <v>28</v>
      </c>
      <c r="B6" s="50">
        <v>61</v>
      </c>
      <c r="C6" s="47">
        <v>8134.08</v>
      </c>
      <c r="D6" s="47">
        <v>9216.48</v>
      </c>
      <c r="E6" s="47">
        <v>39070.400000000001</v>
      </c>
      <c r="F6" s="47">
        <v>5600.49</v>
      </c>
      <c r="G6" s="47">
        <v>2000.19</v>
      </c>
      <c r="H6" s="47">
        <v>933.38</v>
      </c>
      <c r="I6" s="47">
        <v>0</v>
      </c>
      <c r="J6" s="47">
        <v>0</v>
      </c>
      <c r="K6" s="47">
        <v>1933.15</v>
      </c>
      <c r="L6" s="47">
        <v>0</v>
      </c>
      <c r="M6" s="47">
        <f t="shared" si="0"/>
        <v>66888.17</v>
      </c>
      <c r="N6" s="47">
        <v>8424.39</v>
      </c>
      <c r="O6" s="47">
        <v>13267.82</v>
      </c>
      <c r="P6" s="47">
        <v>7548.88</v>
      </c>
      <c r="Q6" s="47">
        <f t="shared" si="1"/>
        <v>96129.260000000009</v>
      </c>
      <c r="R6" s="47"/>
      <c r="S6" s="47"/>
      <c r="T6" s="47"/>
    </row>
    <row r="7" spans="1:20" s="37" customFormat="1" x14ac:dyDescent="0.25">
      <c r="A7" s="34" t="s">
        <v>29</v>
      </c>
      <c r="B7" s="50">
        <v>12</v>
      </c>
      <c r="C7" s="47">
        <v>751.44</v>
      </c>
      <c r="D7" s="47">
        <v>1244.19</v>
      </c>
      <c r="E7" s="47">
        <v>3202.86</v>
      </c>
      <c r="F7" s="47">
        <v>0</v>
      </c>
      <c r="G7" s="47">
        <v>184.77</v>
      </c>
      <c r="H7" s="47">
        <v>184.77</v>
      </c>
      <c r="I7" s="47">
        <v>98.55</v>
      </c>
      <c r="J7" s="47">
        <v>0</v>
      </c>
      <c r="K7" s="47">
        <v>0</v>
      </c>
      <c r="L7" s="47">
        <v>0</v>
      </c>
      <c r="M7" s="47">
        <f t="shared" si="0"/>
        <v>5666.5800000000008</v>
      </c>
      <c r="N7" s="47">
        <v>748.37</v>
      </c>
      <c r="O7" s="47">
        <v>1145.31</v>
      </c>
      <c r="P7" s="47">
        <v>686.68</v>
      </c>
      <c r="Q7" s="47">
        <f t="shared" si="1"/>
        <v>8246.94</v>
      </c>
      <c r="R7" s="47"/>
      <c r="S7" s="47"/>
      <c r="T7" s="47"/>
    </row>
    <row r="8" spans="1:20" x14ac:dyDescent="0.25">
      <c r="A8" s="5" t="s">
        <v>30</v>
      </c>
      <c r="B8" s="50">
        <v>91</v>
      </c>
      <c r="C8" s="42">
        <v>10791.49</v>
      </c>
      <c r="D8" s="42">
        <v>10727.75</v>
      </c>
      <c r="E8" s="42">
        <f>SUM(16215.77+30690.59+4118.7)</f>
        <v>51025.06</v>
      </c>
      <c r="F8" s="42">
        <v>1989.48</v>
      </c>
      <c r="G8" s="42">
        <v>0</v>
      </c>
      <c r="H8" s="42">
        <v>1119.33</v>
      </c>
      <c r="I8" s="42">
        <v>0</v>
      </c>
      <c r="J8" s="42">
        <v>0</v>
      </c>
      <c r="K8" s="42">
        <v>1521.24</v>
      </c>
      <c r="L8" s="42">
        <f>SUM(1211.54+695.64)</f>
        <v>1907.1799999999998</v>
      </c>
      <c r="M8" s="42">
        <f t="shared" si="0"/>
        <v>79081.529999999984</v>
      </c>
      <c r="N8" s="42">
        <v>9641.6299999999992</v>
      </c>
      <c r="O8" s="42">
        <v>15998.7</v>
      </c>
      <c r="P8" s="42">
        <v>9173.07</v>
      </c>
      <c r="Q8" s="42">
        <f t="shared" si="1"/>
        <v>113894.93</v>
      </c>
      <c r="R8" s="42"/>
      <c r="S8" s="42"/>
      <c r="T8" s="42"/>
    </row>
    <row r="9" spans="1:20" s="37" customFormat="1" x14ac:dyDescent="0.25">
      <c r="A9" s="34" t="s">
        <v>31</v>
      </c>
      <c r="B9" s="50">
        <v>26</v>
      </c>
      <c r="C9" s="47">
        <v>1527.37</v>
      </c>
      <c r="D9" s="47">
        <v>1352.07</v>
      </c>
      <c r="E9" s="47">
        <v>5608.62</v>
      </c>
      <c r="F9" s="47">
        <v>1226.8800000000001</v>
      </c>
      <c r="G9" s="47">
        <v>1126.74</v>
      </c>
      <c r="H9" s="47">
        <v>926.42</v>
      </c>
      <c r="I9" s="47">
        <v>237.88</v>
      </c>
      <c r="J9" s="47">
        <v>1139.26</v>
      </c>
      <c r="K9" s="47">
        <v>976.49</v>
      </c>
      <c r="L9" s="47">
        <v>0</v>
      </c>
      <c r="M9" s="47">
        <f t="shared" si="0"/>
        <v>14121.729999999998</v>
      </c>
      <c r="N9" s="47">
        <v>1818.19</v>
      </c>
      <c r="O9" s="47">
        <v>2876.35</v>
      </c>
      <c r="P9" s="47">
        <v>1802.18</v>
      </c>
      <c r="Q9" s="47">
        <f t="shared" si="1"/>
        <v>20618.449999999997</v>
      </c>
      <c r="R9" s="47"/>
      <c r="S9" s="47"/>
      <c r="T9" s="47"/>
    </row>
    <row r="10" spans="1:20" x14ac:dyDescent="0.25">
      <c r="A10" s="5" t="s">
        <v>32</v>
      </c>
      <c r="B10" s="40">
        <v>67</v>
      </c>
      <c r="C10" s="42">
        <v>9864.8799999999992</v>
      </c>
      <c r="D10" s="42">
        <v>10242.14</v>
      </c>
      <c r="E10" s="42">
        <v>43013.68</v>
      </c>
      <c r="F10" s="42">
        <v>6953.93</v>
      </c>
      <c r="G10" s="42">
        <v>4447.25</v>
      </c>
      <c r="H10" s="42">
        <v>0</v>
      </c>
      <c r="I10" s="42">
        <v>0</v>
      </c>
      <c r="J10" s="42">
        <v>0</v>
      </c>
      <c r="K10" s="42">
        <v>40.58</v>
      </c>
      <c r="L10" s="42">
        <v>2829.59</v>
      </c>
      <c r="M10" s="42">
        <f t="shared" si="0"/>
        <v>77392.05</v>
      </c>
      <c r="N10" s="42">
        <v>9749.26</v>
      </c>
      <c r="O10" s="42">
        <v>15353.52</v>
      </c>
      <c r="P10" s="42">
        <f>SUM(7611.78+975)</f>
        <v>8586.7799999999988</v>
      </c>
      <c r="Q10" s="42">
        <f t="shared" si="1"/>
        <v>111081.61</v>
      </c>
      <c r="R10" s="42"/>
      <c r="S10" s="42"/>
      <c r="T10" s="42"/>
    </row>
    <row r="11" spans="1:20" x14ac:dyDescent="0.25">
      <c r="A11" s="5" t="s">
        <v>33</v>
      </c>
      <c r="B11" s="40">
        <v>115</v>
      </c>
      <c r="C11" s="42">
        <v>25459.09</v>
      </c>
      <c r="D11" s="42">
        <v>21911.66</v>
      </c>
      <c r="E11" s="42">
        <f>SUM(126646.65+13179.21)</f>
        <v>139825.85999999999</v>
      </c>
      <c r="F11" s="42">
        <v>10851.4</v>
      </c>
      <c r="G11" s="42">
        <v>3965.01</v>
      </c>
      <c r="H11" s="42">
        <v>3756.28</v>
      </c>
      <c r="I11" s="42">
        <v>0</v>
      </c>
      <c r="J11" s="42">
        <v>0</v>
      </c>
      <c r="K11" s="42">
        <v>24221.95</v>
      </c>
      <c r="L11" s="42">
        <v>0</v>
      </c>
      <c r="M11" s="42">
        <f t="shared" si="0"/>
        <v>229991.25</v>
      </c>
      <c r="N11" s="42">
        <f>SUM(22458.04+5530.21)</f>
        <v>27988.25</v>
      </c>
      <c r="O11" s="42">
        <f>SUM(47452.17+228.03)</f>
        <v>47680.2</v>
      </c>
      <c r="P11" s="42">
        <f>SUM(22999.16+570.08+1140.16)</f>
        <v>24709.4</v>
      </c>
      <c r="Q11" s="42">
        <f t="shared" si="1"/>
        <v>330369.10000000003</v>
      </c>
      <c r="R11" s="42"/>
      <c r="S11" s="42"/>
      <c r="T11" s="42"/>
    </row>
    <row r="12" spans="1:20" s="37" customFormat="1" x14ac:dyDescent="0.25">
      <c r="A12" s="34" t="s">
        <v>34</v>
      </c>
      <c r="B12" s="50">
        <v>73</v>
      </c>
      <c r="C12" s="47">
        <v>7824.62</v>
      </c>
      <c r="D12" s="47">
        <f>SUM(7698.47+2064.24)</f>
        <v>9762.7099999999991</v>
      </c>
      <c r="E12" s="47">
        <v>25425.98</v>
      </c>
      <c r="F12" s="47">
        <v>5576.79</v>
      </c>
      <c r="G12" s="47">
        <v>2788.41</v>
      </c>
      <c r="H12" s="47">
        <v>1697.07</v>
      </c>
      <c r="I12" s="47">
        <v>424.4</v>
      </c>
      <c r="J12" s="47">
        <v>0</v>
      </c>
      <c r="K12" s="47">
        <v>0</v>
      </c>
      <c r="L12" s="47">
        <v>0</v>
      </c>
      <c r="M12" s="47">
        <f t="shared" si="0"/>
        <v>53499.979999999996</v>
      </c>
      <c r="N12" s="47">
        <v>7373</v>
      </c>
      <c r="O12" s="47">
        <v>11639.69</v>
      </c>
      <c r="P12" s="47">
        <v>6964.37</v>
      </c>
      <c r="Q12" s="47">
        <f t="shared" si="1"/>
        <v>79477.039999999994</v>
      </c>
      <c r="R12" s="47"/>
      <c r="S12" s="47"/>
      <c r="T12" s="47"/>
    </row>
    <row r="13" spans="1:20" s="37" customFormat="1" x14ac:dyDescent="0.25">
      <c r="A13" s="34" t="s">
        <v>35</v>
      </c>
      <c r="B13" s="54">
        <v>274</v>
      </c>
      <c r="C13" s="47">
        <f>SUM(28241.93+28241.93/246609.48*24760.92)+(28241.93/246609.48*15470.37)</f>
        <v>32849.251973144339</v>
      </c>
      <c r="D13" s="47">
        <f>SUM(40511.07+40511.07/246609.48*24760.92)+(40511.07/246609.48*15470.37)+1712</f>
        <v>48831.950588776635</v>
      </c>
      <c r="E13" s="47">
        <f>SUM(94175.65+94175.65/246609.48*24760.92)+(94175.65/246609.48*15470.37)</f>
        <v>109539.24383300472</v>
      </c>
      <c r="F13" s="47">
        <f>SUM(28704.65+28704.65/246609.48*24760.92)+(28704.65/246609.48*15470.37)</f>
        <v>33387.459024610493</v>
      </c>
      <c r="G13" s="47">
        <f>SUM(13889.14+13889.14/246609.48*24760.92)+(13889.14/246609.48*15470.37)</f>
        <v>16154.981601833799</v>
      </c>
      <c r="H13" s="47">
        <f>SUM(9028.18+9028.18/246609.48*24760.92)+(9028.18/246609.48*15470.37)</f>
        <v>10501.016031089315</v>
      </c>
      <c r="I13" s="47">
        <v>0</v>
      </c>
      <c r="J13" s="47">
        <f>SUM(19213.82+19213.82/246609.48*24760.92)+(19213.82/246609.48*15470.37)</f>
        <v>22348.317361690231</v>
      </c>
      <c r="K13" s="47">
        <f>SUM(13845.04+13845.04/246609.48*24760.92)+(13845.04/246609.48*15470.37)</f>
        <v>16103.68723165387</v>
      </c>
      <c r="L13" s="47">
        <v>0</v>
      </c>
      <c r="M13" s="47">
        <f t="shared" si="0"/>
        <v>289715.90764580347</v>
      </c>
      <c r="N13" s="47">
        <v>37036.21</v>
      </c>
      <c r="O13" s="47">
        <v>57996.54</v>
      </c>
      <c r="P13" s="47">
        <v>31992.17</v>
      </c>
      <c r="Q13" s="47">
        <f t="shared" si="1"/>
        <v>416740.82764580345</v>
      </c>
      <c r="R13" s="47"/>
      <c r="S13" s="47"/>
      <c r="T13" s="47"/>
    </row>
    <row r="14" spans="1:20" s="37" customFormat="1" x14ac:dyDescent="0.25">
      <c r="A14" s="34" t="s">
        <v>36</v>
      </c>
      <c r="B14" s="50">
        <v>80</v>
      </c>
      <c r="C14" s="47">
        <v>4238.76</v>
      </c>
      <c r="D14" s="47">
        <v>2888.1</v>
      </c>
      <c r="E14" s="47">
        <v>15480.76</v>
      </c>
      <c r="F14" s="47">
        <v>2605.5700000000002</v>
      </c>
      <c r="G14" s="47">
        <v>937.21</v>
      </c>
      <c r="H14" s="47">
        <v>1077.07</v>
      </c>
      <c r="I14" s="47">
        <v>457.91</v>
      </c>
      <c r="J14" s="47">
        <v>0</v>
      </c>
      <c r="K14" s="47">
        <v>545.20000000000005</v>
      </c>
      <c r="L14" s="47">
        <v>3907.52</v>
      </c>
      <c r="M14" s="47">
        <f t="shared" si="0"/>
        <v>32138.100000000002</v>
      </c>
      <c r="N14" s="47">
        <v>3960</v>
      </c>
      <c r="O14" s="47">
        <v>6301.25</v>
      </c>
      <c r="P14" s="47">
        <v>4329.33</v>
      </c>
      <c r="Q14" s="47">
        <f t="shared" si="1"/>
        <v>46728.680000000008</v>
      </c>
      <c r="R14" s="47"/>
      <c r="S14" s="47"/>
      <c r="T14" s="47"/>
    </row>
    <row r="15" spans="1:20" ht="17.25" customHeight="1" x14ac:dyDescent="0.25">
      <c r="A15" s="5" t="s">
        <v>37</v>
      </c>
      <c r="B15" s="40">
        <v>8</v>
      </c>
      <c r="C15" s="42">
        <f>SUM(585.97+585.97/5918.18*370.49)+(585.97/5918.18*591.82)</f>
        <v>681.25010143321083</v>
      </c>
      <c r="D15" s="42">
        <f>SUM(1901.99+1901.99/5918.18*370.49)+(1901.99/5918.18*591.82)+99</f>
        <v>2310.2580514786641</v>
      </c>
      <c r="E15" s="42">
        <f>SUM(1926.87+1926.87/5918.18*370.49)+(1929.87/5918.18*591.82)</f>
        <v>2240.4835990625497</v>
      </c>
      <c r="F15" s="42">
        <f>SUM(441.78+441.78/5918.18*370.49)+(441.78/5918.18*591.82)</f>
        <v>513.61446799522821</v>
      </c>
      <c r="G15" s="42">
        <f>SUM(230.34+230.34/5918.18*370.49)+(230.34/5918.18*591.82)</f>
        <v>267.79382624387904</v>
      </c>
      <c r="H15" s="42">
        <f>SUM(321.81+321.81/5918.18*370.49)+(321.81/5918.18*591.82)</f>
        <v>374.13706357359865</v>
      </c>
      <c r="I15" s="42">
        <f>SUM(96.06+96.06/5918.18*370.49)+(96.06/5918.18*591.82)</f>
        <v>111.67958213504828</v>
      </c>
      <c r="J15" s="42">
        <f>SUM(413.06+413.06/5918.18*370.49)+(413.06/5918.18*591.82)</f>
        <v>480.22452838541579</v>
      </c>
      <c r="K15" s="42">
        <v>0</v>
      </c>
      <c r="L15" s="42">
        <v>0</v>
      </c>
      <c r="M15" s="42">
        <f t="shared" si="0"/>
        <v>6979.4412203075944</v>
      </c>
      <c r="N15" s="42">
        <v>900.08</v>
      </c>
      <c r="O15" s="42">
        <v>1376.08</v>
      </c>
      <c r="P15" s="42">
        <v>853.05</v>
      </c>
      <c r="Q15" s="42">
        <f t="shared" si="1"/>
        <v>10108.651220307594</v>
      </c>
      <c r="R15" s="42"/>
      <c r="S15" s="42"/>
      <c r="T15" s="42"/>
    </row>
    <row r="16" spans="1:20" s="37" customFormat="1" x14ac:dyDescent="0.25">
      <c r="A16" s="34" t="s">
        <v>38</v>
      </c>
      <c r="B16" s="50">
        <v>32</v>
      </c>
      <c r="C16" s="47">
        <v>988.79</v>
      </c>
      <c r="D16" s="47">
        <v>1027.19</v>
      </c>
      <c r="E16" s="47">
        <v>3985.96</v>
      </c>
      <c r="F16" s="47">
        <v>940.15</v>
      </c>
      <c r="G16" s="47">
        <v>648.38</v>
      </c>
      <c r="H16" s="47">
        <v>883.43</v>
      </c>
      <c r="I16" s="47">
        <v>178.3</v>
      </c>
      <c r="J16" s="47">
        <v>0</v>
      </c>
      <c r="K16" s="47">
        <v>28.91</v>
      </c>
      <c r="L16" s="47">
        <v>0</v>
      </c>
      <c r="M16" s="47">
        <f t="shared" si="0"/>
        <v>8681.1099999999988</v>
      </c>
      <c r="N16" s="47">
        <v>1003.29</v>
      </c>
      <c r="O16" s="47">
        <v>1704.19</v>
      </c>
      <c r="P16" s="47">
        <f>SUM(852.12+480)</f>
        <v>1332.12</v>
      </c>
      <c r="Q16" s="47">
        <f t="shared" si="1"/>
        <v>12720.71</v>
      </c>
      <c r="R16" s="47"/>
      <c r="S16" s="47"/>
      <c r="T16" s="47"/>
    </row>
    <row r="17" spans="1:20" x14ac:dyDescent="0.25">
      <c r="A17" s="28" t="s">
        <v>175</v>
      </c>
      <c r="B17" s="40">
        <v>45</v>
      </c>
      <c r="C17" s="42">
        <v>2560.88</v>
      </c>
      <c r="D17" s="42">
        <v>2578.92</v>
      </c>
      <c r="E17" s="42">
        <f>SUM(10389.57+1162.39)</f>
        <v>11551.96</v>
      </c>
      <c r="F17" s="42">
        <v>1868.22</v>
      </c>
      <c r="G17" s="42">
        <v>650.76</v>
      </c>
      <c r="H17" s="42">
        <v>881.62</v>
      </c>
      <c r="I17" s="42">
        <v>209.94</v>
      </c>
      <c r="J17" s="42">
        <v>0</v>
      </c>
      <c r="K17" s="42">
        <f>SUM(46.01+276.06+138.03+184.04+966.19+138.03)</f>
        <v>1748.36</v>
      </c>
      <c r="L17" s="42">
        <v>750.64</v>
      </c>
      <c r="M17" s="42">
        <f t="shared" si="0"/>
        <v>22801.299999999996</v>
      </c>
      <c r="N17" s="42">
        <v>3049.24</v>
      </c>
      <c r="O17" s="42">
        <v>4605.24</v>
      </c>
      <c r="P17" s="42">
        <v>3247.68</v>
      </c>
      <c r="Q17" s="42">
        <f t="shared" si="1"/>
        <v>33703.459999999992</v>
      </c>
      <c r="R17" s="42"/>
      <c r="S17" s="42"/>
      <c r="T17" s="42"/>
    </row>
    <row r="18" spans="1:20" x14ac:dyDescent="0.25">
      <c r="A18" s="34" t="s">
        <v>40</v>
      </c>
      <c r="B18" s="40">
        <v>92</v>
      </c>
      <c r="C18" s="42">
        <v>14996.83</v>
      </c>
      <c r="D18" s="42">
        <v>12996.82</v>
      </c>
      <c r="E18" s="42">
        <v>81376.36</v>
      </c>
      <c r="F18" s="42">
        <v>8481.84</v>
      </c>
      <c r="G18" s="42">
        <v>2950.18</v>
      </c>
      <c r="H18" s="42">
        <v>1229.24</v>
      </c>
      <c r="I18" s="42"/>
      <c r="J18" s="42"/>
      <c r="K18" s="42">
        <f>SUM(599.73+433.21+3243.55+3484.58+0.11)</f>
        <v>7761.1799999999994</v>
      </c>
      <c r="L18" s="42">
        <f>SUM(4343.72+4343.72/116202.04*5767.94)+(4343.72/116202.04*11620.17)</f>
        <v>4993.7006816575686</v>
      </c>
      <c r="M18" s="42">
        <f t="shared" si="0"/>
        <v>134786.15068165757</v>
      </c>
      <c r="N18" s="42">
        <v>16377.12</v>
      </c>
      <c r="O18" s="42">
        <v>26902.04</v>
      </c>
      <c r="P18" s="42">
        <f>SUM(13359.03+1380)</f>
        <v>14739.03</v>
      </c>
      <c r="Q18" s="42">
        <f t="shared" si="1"/>
        <v>192804.34068165757</v>
      </c>
      <c r="R18" s="42"/>
      <c r="S18" s="42"/>
      <c r="T18" s="42"/>
    </row>
    <row r="19" spans="1:20" x14ac:dyDescent="0.25">
      <c r="A19" s="5" t="s">
        <v>41</v>
      </c>
      <c r="B19" s="40">
        <v>43</v>
      </c>
      <c r="C19" s="42">
        <v>2519.2399999999998</v>
      </c>
      <c r="D19" s="42">
        <v>1693.26</v>
      </c>
      <c r="E19" s="42">
        <v>8074.02</v>
      </c>
      <c r="F19" s="42">
        <v>1383.56</v>
      </c>
      <c r="G19" s="42">
        <v>464.71</v>
      </c>
      <c r="H19" s="42">
        <v>1404.16</v>
      </c>
      <c r="I19" s="42">
        <v>0</v>
      </c>
      <c r="J19" s="42">
        <v>0</v>
      </c>
      <c r="K19" s="42">
        <f>SUM(13.88+158.25+0.79+63.95+1837.83)</f>
        <v>2074.6999999999998</v>
      </c>
      <c r="L19" s="42"/>
      <c r="M19" s="42">
        <f t="shared" si="0"/>
        <v>17613.649999999998</v>
      </c>
      <c r="N19" s="42">
        <f>SUM(1666.31+684.62)</f>
        <v>2350.9299999999998</v>
      </c>
      <c r="O19" s="42">
        <f>SUM(3522.73+86.02)</f>
        <v>3608.75</v>
      </c>
      <c r="P19" s="42">
        <f>SUM(1761.36+430)</f>
        <v>2191.3599999999997</v>
      </c>
      <c r="Q19" s="42">
        <f t="shared" si="1"/>
        <v>25764.69</v>
      </c>
      <c r="R19" s="42"/>
      <c r="S19" s="42"/>
      <c r="T19" s="42"/>
    </row>
    <row r="20" spans="1:20" s="37" customFormat="1" x14ac:dyDescent="0.25">
      <c r="A20" s="34" t="s">
        <v>42</v>
      </c>
      <c r="B20" s="50">
        <v>16</v>
      </c>
      <c r="C20" s="47">
        <v>1166.74</v>
      </c>
      <c r="D20" s="47">
        <f>SUM(985.04+127.38)</f>
        <v>1112.42</v>
      </c>
      <c r="E20" s="47">
        <v>3595.9</v>
      </c>
      <c r="F20" s="47">
        <v>506.87</v>
      </c>
      <c r="G20" s="47">
        <v>478.18</v>
      </c>
      <c r="H20" s="47">
        <v>382.54</v>
      </c>
      <c r="I20" s="47">
        <v>0</v>
      </c>
      <c r="J20" s="47">
        <v>0</v>
      </c>
      <c r="K20" s="47">
        <v>0</v>
      </c>
      <c r="L20" s="47">
        <f>SUM(526.02+114.04)</f>
        <v>640.05999999999995</v>
      </c>
      <c r="M20" s="47">
        <f t="shared" si="0"/>
        <v>7882.7099999999991</v>
      </c>
      <c r="N20" s="47">
        <f>SUM(726.03+266.49)</f>
        <v>992.52</v>
      </c>
      <c r="O20" s="47">
        <v>1551.06</v>
      </c>
      <c r="P20" s="47">
        <v>181.98</v>
      </c>
      <c r="Q20" s="47">
        <f t="shared" si="1"/>
        <v>10608.269999999999</v>
      </c>
      <c r="R20" s="47"/>
      <c r="S20" s="47"/>
      <c r="T20" s="47"/>
    </row>
    <row r="21" spans="1:20" x14ac:dyDescent="0.25">
      <c r="A21" s="5" t="s">
        <v>43</v>
      </c>
      <c r="B21" s="40">
        <v>118</v>
      </c>
      <c r="C21" s="42">
        <v>9270.14</v>
      </c>
      <c r="D21" s="42">
        <v>10025.35</v>
      </c>
      <c r="E21" s="42">
        <v>23090.77</v>
      </c>
      <c r="F21" s="42">
        <v>4856.3900000000003</v>
      </c>
      <c r="G21" s="42">
        <v>2127.6</v>
      </c>
      <c r="H21" s="42">
        <v>1215.77</v>
      </c>
      <c r="I21" s="42">
        <v>380.09</v>
      </c>
      <c r="J21" s="42"/>
      <c r="K21" s="42">
        <f>SUM(1984.91+6.17)</f>
        <v>1991.0800000000002</v>
      </c>
      <c r="L21" s="42">
        <v>34.770000000000003</v>
      </c>
      <c r="M21" s="42">
        <f t="shared" si="0"/>
        <v>52991.959999999985</v>
      </c>
      <c r="N21" s="42">
        <f>SUM(4923.18+1766.05)</f>
        <v>6689.2300000000005</v>
      </c>
      <c r="O21" s="42">
        <v>10405.64</v>
      </c>
      <c r="P21" s="42">
        <f>SUM(5202.83+1063.27)</f>
        <v>6266.1</v>
      </c>
      <c r="Q21" s="42">
        <f t="shared" si="1"/>
        <v>76352.929999999993</v>
      </c>
      <c r="R21" s="42"/>
      <c r="S21" s="42"/>
      <c r="T21" s="42"/>
    </row>
    <row r="22" spans="1:20" x14ac:dyDescent="0.25">
      <c r="A22" s="5" t="s">
        <v>44</v>
      </c>
      <c r="B22" s="40">
        <v>165</v>
      </c>
      <c r="C22" s="42">
        <v>20510.59</v>
      </c>
      <c r="D22" s="42">
        <v>32185.360000000001</v>
      </c>
      <c r="E22" s="42">
        <v>74650.59</v>
      </c>
      <c r="F22" s="42">
        <v>12945.29</v>
      </c>
      <c r="G22" s="42">
        <v>3698.62</v>
      </c>
      <c r="H22" s="42">
        <v>5547.97</v>
      </c>
      <c r="I22" s="42">
        <v>470.77</v>
      </c>
      <c r="J22" s="42">
        <v>0</v>
      </c>
      <c r="K22" s="42">
        <v>11092.25</v>
      </c>
      <c r="L22" s="42">
        <v>0</v>
      </c>
      <c r="M22" s="42">
        <f t="shared" si="0"/>
        <v>161101.43999999997</v>
      </c>
      <c r="N22" s="42">
        <v>18779.88</v>
      </c>
      <c r="O22" s="42">
        <v>31560.21</v>
      </c>
      <c r="P22" s="42">
        <f>SUM(15615.21+2475)</f>
        <v>18090.21</v>
      </c>
      <c r="Q22" s="42">
        <f t="shared" si="1"/>
        <v>229531.73999999996</v>
      </c>
      <c r="R22" s="42"/>
      <c r="S22" s="42"/>
      <c r="T22" s="42"/>
    </row>
    <row r="23" spans="1:20" x14ac:dyDescent="0.25">
      <c r="A23" s="5" t="s">
        <v>45</v>
      </c>
      <c r="B23" s="40">
        <v>0</v>
      </c>
      <c r="C23" s="42">
        <v>0</v>
      </c>
      <c r="D23" s="42">
        <v>0</v>
      </c>
      <c r="E23" s="42">
        <v>0</v>
      </c>
      <c r="F23" s="42">
        <v>0</v>
      </c>
      <c r="G23" s="42">
        <v>0</v>
      </c>
      <c r="H23" s="42">
        <v>0</v>
      </c>
      <c r="I23" s="42">
        <v>0</v>
      </c>
      <c r="J23" s="42">
        <v>0</v>
      </c>
      <c r="K23" s="42">
        <v>0</v>
      </c>
      <c r="L23" s="42">
        <v>0</v>
      </c>
      <c r="M23" s="42">
        <f t="shared" si="0"/>
        <v>0</v>
      </c>
      <c r="N23" s="42">
        <v>0</v>
      </c>
      <c r="O23" s="42">
        <v>0</v>
      </c>
      <c r="P23" s="42">
        <v>0</v>
      </c>
      <c r="Q23" s="42">
        <f t="shared" si="1"/>
        <v>0</v>
      </c>
      <c r="R23" s="42"/>
      <c r="S23" s="42"/>
      <c r="T23" s="42"/>
    </row>
    <row r="24" spans="1:20" x14ac:dyDescent="0.25">
      <c r="A24" s="5" t="s">
        <v>46</v>
      </c>
      <c r="B24" s="40">
        <v>28</v>
      </c>
      <c r="C24" s="42">
        <v>8515.0300000000007</v>
      </c>
      <c r="D24" s="42">
        <v>2513.44</v>
      </c>
      <c r="E24" s="42">
        <v>39434.43</v>
      </c>
      <c r="F24" s="42">
        <v>6979.55</v>
      </c>
      <c r="G24" s="42">
        <v>3768.94</v>
      </c>
      <c r="H24" s="42">
        <v>0</v>
      </c>
      <c r="I24" s="42">
        <v>0</v>
      </c>
      <c r="J24" s="42">
        <v>0</v>
      </c>
      <c r="K24" s="42">
        <f>SUM(5751.65+2.87)</f>
        <v>5754.5199999999995</v>
      </c>
      <c r="L24" s="42">
        <v>366.79</v>
      </c>
      <c r="M24" s="42">
        <f t="shared" si="0"/>
        <v>67332.7</v>
      </c>
      <c r="N24" s="42">
        <v>8490.51</v>
      </c>
      <c r="O24" s="42">
        <v>13410.53</v>
      </c>
      <c r="P24" s="42">
        <f>SUM(6705.3+420.01)</f>
        <v>7125.31</v>
      </c>
      <c r="Q24" s="42">
        <f t="shared" si="1"/>
        <v>96359.049999999988</v>
      </c>
      <c r="R24" s="42"/>
      <c r="S24" s="42"/>
      <c r="T24" s="42"/>
    </row>
    <row r="25" spans="1:20" x14ac:dyDescent="0.25">
      <c r="A25" s="5" t="s">
        <v>47</v>
      </c>
      <c r="B25" s="40">
        <v>58</v>
      </c>
      <c r="C25" s="42">
        <f>SUM(2822.59+2822.59/19011.52*1901.21)+(2822.59/19011.52*1192.47)</f>
        <v>3281.900472345189</v>
      </c>
      <c r="D25" s="42">
        <f>SUM(1688.97+1688.97/19011.52*1901.21)+(1688.97/19011.52*1192.47)+571.97</f>
        <v>2535.7803446752287</v>
      </c>
      <c r="E25" s="42">
        <f>SUM(10758.41+10758.41/19011.52*1901.21)+(10758.41/19011.52*1192.47)</f>
        <v>12509.089474802646</v>
      </c>
      <c r="F25" s="42">
        <v>0</v>
      </c>
      <c r="G25" s="42">
        <f>SUM(925.45+925.45/19011.52*1901.21)+(925.45/19011.52*1192.47)</f>
        <v>1076.0453314621873</v>
      </c>
      <c r="H25" s="42">
        <f>SUM(1017.95+1017.95/19011.52*1901.21)+(1017.95/19011.52*1192.47)</f>
        <v>1183.5975419114307</v>
      </c>
      <c r="I25" s="42">
        <v>0</v>
      </c>
      <c r="J25" s="42">
        <f>SUM(1758.37+1758.37/19011.52*1901.21)+(1758.37/19011.52*1192.47)</f>
        <v>2044.5035706771473</v>
      </c>
      <c r="K25" s="42">
        <f>SUM(39.78+39.78/19011.52*1901.21)+(39.78/19011.52*1192.47)</f>
        <v>46.253264126171928</v>
      </c>
      <c r="L25" s="42">
        <v>0</v>
      </c>
      <c r="M25" s="42">
        <f t="shared" si="0"/>
        <v>22677.170000000002</v>
      </c>
      <c r="N25" s="42">
        <f>SUM(844.93+2091.33)</f>
        <v>2936.2599999999998</v>
      </c>
      <c r="O25" s="42">
        <f>SUM(4421.14+104)</f>
        <v>4525.1400000000003</v>
      </c>
      <c r="P25" s="42">
        <f>SUM(259.99+2210.62+519.97)</f>
        <v>2990.58</v>
      </c>
      <c r="Q25" s="42">
        <f t="shared" si="1"/>
        <v>33129.15</v>
      </c>
      <c r="R25" s="42"/>
      <c r="S25" s="42"/>
      <c r="T25" s="42"/>
    </row>
    <row r="26" spans="1:20" s="37" customFormat="1" x14ac:dyDescent="0.25">
      <c r="A26" s="34" t="s">
        <v>48</v>
      </c>
      <c r="B26" s="50">
        <v>33</v>
      </c>
      <c r="C26" s="47">
        <v>1815.21</v>
      </c>
      <c r="D26" s="47">
        <v>1491.91</v>
      </c>
      <c r="E26" s="47">
        <v>6754.95</v>
      </c>
      <c r="F26" s="47">
        <v>1294.48</v>
      </c>
      <c r="G26" s="47">
        <v>639.80999999999995</v>
      </c>
      <c r="H26" s="47">
        <v>278.25</v>
      </c>
      <c r="I26" s="47">
        <v>208.3</v>
      </c>
      <c r="J26" s="47">
        <v>595.15</v>
      </c>
      <c r="K26" s="47">
        <v>0</v>
      </c>
      <c r="L26" s="47">
        <v>922.48</v>
      </c>
      <c r="M26" s="47">
        <f t="shared" si="0"/>
        <v>14000.539999999997</v>
      </c>
      <c r="N26" s="47">
        <v>1803.26</v>
      </c>
      <c r="O26" s="47">
        <v>2767.14</v>
      </c>
      <c r="P26" s="47">
        <v>1680.6</v>
      </c>
      <c r="Q26" s="47">
        <f t="shared" si="1"/>
        <v>20251.539999999997</v>
      </c>
      <c r="R26" s="47"/>
      <c r="S26" s="47"/>
      <c r="T26" s="47"/>
    </row>
    <row r="27" spans="1:20" s="37" customFormat="1" x14ac:dyDescent="0.25">
      <c r="A27" s="34" t="s">
        <v>49</v>
      </c>
      <c r="B27" s="50">
        <v>122</v>
      </c>
      <c r="C27" s="47">
        <v>13006.26</v>
      </c>
      <c r="D27" s="47">
        <v>19935.88</v>
      </c>
      <c r="E27" s="47">
        <v>42430.36</v>
      </c>
      <c r="F27" s="47">
        <v>0</v>
      </c>
      <c r="G27" s="47">
        <v>3411.47</v>
      </c>
      <c r="H27" s="47">
        <v>2558.5700000000002</v>
      </c>
      <c r="I27" s="47">
        <v>426.43</v>
      </c>
      <c r="J27" s="47">
        <v>0</v>
      </c>
      <c r="K27" s="37">
        <f>SUM(3154.39+0.87)</f>
        <v>3155.2599999999998</v>
      </c>
      <c r="L27" s="37">
        <f>SUM(137.4+8.46+438.04)</f>
        <v>583.90000000000009</v>
      </c>
      <c r="M27" s="47">
        <f t="shared" si="0"/>
        <v>85508.12999999999</v>
      </c>
      <c r="N27" s="37">
        <f>SUM(8091.47+2869.74)</f>
        <v>10961.21</v>
      </c>
      <c r="O27" s="66">
        <f>SUM(17101.61+249.39)</f>
        <v>17351</v>
      </c>
      <c r="P27" s="37">
        <f>SUM(8550.82+1514.65+1376.96)</f>
        <v>11442.43</v>
      </c>
      <c r="Q27" s="47">
        <f t="shared" si="1"/>
        <v>125262.76999999999</v>
      </c>
      <c r="R27" s="47"/>
      <c r="S27" s="47"/>
      <c r="T27" s="47"/>
    </row>
    <row r="28" spans="1:20" x14ac:dyDescent="0.25">
      <c r="A28" s="5" t="s">
        <v>50</v>
      </c>
      <c r="B28" s="40">
        <v>65</v>
      </c>
      <c r="C28" s="42">
        <v>10017.08</v>
      </c>
      <c r="D28" s="42">
        <v>8091.02</v>
      </c>
      <c r="E28" s="42">
        <v>49264.24</v>
      </c>
      <c r="F28" s="42">
        <v>5829.59</v>
      </c>
      <c r="G28" s="42">
        <v>3776.93</v>
      </c>
      <c r="H28" s="42">
        <v>2381.12</v>
      </c>
      <c r="I28" s="42">
        <v>0</v>
      </c>
      <c r="J28" s="42">
        <v>0</v>
      </c>
      <c r="K28" s="42">
        <v>0</v>
      </c>
      <c r="L28" s="42">
        <v>0</v>
      </c>
      <c r="M28" s="42">
        <f t="shared" si="0"/>
        <v>79359.979999999981</v>
      </c>
      <c r="N28" s="42">
        <v>9710.0300000000007</v>
      </c>
      <c r="O28" s="42">
        <v>15911</v>
      </c>
      <c r="P28" s="42">
        <f>SUM(7890.46+1300)</f>
        <v>9190.4599999999991</v>
      </c>
      <c r="Q28" s="42">
        <f t="shared" si="1"/>
        <v>114171.46999999997</v>
      </c>
      <c r="R28" s="42"/>
      <c r="S28" s="42"/>
      <c r="T28" s="42"/>
    </row>
    <row r="29" spans="1:20" x14ac:dyDescent="0.25">
      <c r="A29" s="5" t="s">
        <v>51</v>
      </c>
      <c r="B29" s="54">
        <v>19</v>
      </c>
      <c r="C29" s="42">
        <v>1253.8599999999999</v>
      </c>
      <c r="D29" s="42">
        <v>1123.0899999999999</v>
      </c>
      <c r="E29" s="42">
        <v>6310.42</v>
      </c>
      <c r="F29" s="42">
        <v>924.98</v>
      </c>
      <c r="G29" s="42">
        <v>719.43</v>
      </c>
      <c r="H29" s="42">
        <v>647.51</v>
      </c>
      <c r="I29" s="42">
        <v>133.63</v>
      </c>
      <c r="J29" s="42"/>
      <c r="K29" s="42">
        <v>10.35</v>
      </c>
      <c r="L29" s="42"/>
      <c r="M29" s="42">
        <f t="shared" si="0"/>
        <v>11123.269999999999</v>
      </c>
      <c r="N29" s="42">
        <v>1455.32</v>
      </c>
      <c r="O29" s="42">
        <v>2199.12</v>
      </c>
      <c r="P29" s="42">
        <v>1363.8</v>
      </c>
      <c r="Q29" s="42">
        <f t="shared" si="1"/>
        <v>16141.509999999998</v>
      </c>
      <c r="R29" s="42"/>
      <c r="S29" s="42"/>
      <c r="T29" s="42"/>
    </row>
    <row r="30" spans="1:20" s="37" customFormat="1" x14ac:dyDescent="0.25">
      <c r="A30" s="34" t="s">
        <v>52</v>
      </c>
      <c r="B30" s="50">
        <v>21</v>
      </c>
      <c r="C30" s="47">
        <v>4693.3500000000004</v>
      </c>
      <c r="D30" s="47">
        <v>2500.5500000000002</v>
      </c>
      <c r="E30" s="47">
        <v>16234.93</v>
      </c>
      <c r="F30" s="47">
        <v>1423.4</v>
      </c>
      <c r="G30" s="47">
        <v>1346.46</v>
      </c>
      <c r="H30" s="47">
        <v>2423.61</v>
      </c>
      <c r="I30" s="47">
        <v>650.14</v>
      </c>
      <c r="J30" s="47">
        <v>0</v>
      </c>
      <c r="K30" s="47">
        <v>1.57</v>
      </c>
      <c r="L30" s="47">
        <v>0</v>
      </c>
      <c r="M30" s="47">
        <f t="shared" si="0"/>
        <v>29274.010000000002</v>
      </c>
      <c r="N30" s="47">
        <v>3899.25</v>
      </c>
      <c r="O30" s="47">
        <v>5896.84</v>
      </c>
      <c r="P30" s="47">
        <v>3137.44</v>
      </c>
      <c r="Q30" s="47">
        <f t="shared" si="1"/>
        <v>42207.540000000008</v>
      </c>
      <c r="R30" s="47"/>
      <c r="S30" s="47"/>
      <c r="T30" s="47"/>
    </row>
    <row r="31" spans="1:20" x14ac:dyDescent="0.25">
      <c r="A31" s="5" t="s">
        <v>53</v>
      </c>
      <c r="B31" s="54">
        <v>28</v>
      </c>
      <c r="C31" s="42">
        <v>1152.8</v>
      </c>
      <c r="D31" s="42">
        <v>1238.9000000000001</v>
      </c>
      <c r="E31" s="42">
        <v>4516.72</v>
      </c>
      <c r="F31" s="42">
        <v>472.46</v>
      </c>
      <c r="G31" s="42">
        <v>283.48</v>
      </c>
      <c r="H31" s="42">
        <v>340.18</v>
      </c>
      <c r="I31" s="42">
        <v>448.59</v>
      </c>
      <c r="J31" s="42">
        <v>0</v>
      </c>
      <c r="K31" s="42">
        <v>3.59</v>
      </c>
      <c r="L31" s="42">
        <v>42</v>
      </c>
      <c r="M31" s="42">
        <f t="shared" si="0"/>
        <v>8498.7200000000012</v>
      </c>
      <c r="N31" s="42">
        <f>SUM(798.72+333.72)</f>
        <v>1132.44</v>
      </c>
      <c r="O31" s="42">
        <v>1670.33</v>
      </c>
      <c r="P31" s="42">
        <f>SUM(835.18+210)</f>
        <v>1045.1799999999998</v>
      </c>
      <c r="Q31" s="42">
        <f t="shared" si="1"/>
        <v>12346.670000000002</v>
      </c>
      <c r="R31" s="42"/>
      <c r="S31" s="42"/>
      <c r="T31" s="42"/>
    </row>
    <row r="32" spans="1:20" x14ac:dyDescent="0.25">
      <c r="A32" s="5" t="s">
        <v>166</v>
      </c>
      <c r="B32" s="40">
        <v>18</v>
      </c>
      <c r="C32" s="42">
        <v>881.46</v>
      </c>
      <c r="D32" s="42">
        <v>469.14</v>
      </c>
      <c r="E32" s="42">
        <v>2781.68</v>
      </c>
      <c r="F32" s="42">
        <v>570.78</v>
      </c>
      <c r="G32" s="42">
        <v>252.87</v>
      </c>
      <c r="H32" s="42">
        <v>415.42</v>
      </c>
      <c r="I32" s="42">
        <v>187.85</v>
      </c>
      <c r="J32" s="42">
        <v>419.06</v>
      </c>
      <c r="K32" s="42">
        <v>26.94</v>
      </c>
      <c r="L32" s="42">
        <v>0</v>
      </c>
      <c r="M32" s="42">
        <f t="shared" si="0"/>
        <v>6005.2</v>
      </c>
      <c r="N32" s="42">
        <v>774.19</v>
      </c>
      <c r="O32" s="42">
        <v>1208.22</v>
      </c>
      <c r="P32" s="42">
        <f>SUM(586.11+270)</f>
        <v>856.11</v>
      </c>
      <c r="Q32" s="42">
        <f t="shared" si="1"/>
        <v>8843.7199999999993</v>
      </c>
      <c r="R32" s="42"/>
      <c r="S32" s="42"/>
      <c r="T32" s="42"/>
    </row>
    <row r="33" spans="1:20" x14ac:dyDescent="0.25">
      <c r="A33" s="28" t="s">
        <v>176</v>
      </c>
      <c r="B33" s="40">
        <v>116</v>
      </c>
      <c r="C33" s="42">
        <v>16225.39</v>
      </c>
      <c r="D33" s="42">
        <v>18319.37</v>
      </c>
      <c r="E33" s="42">
        <v>61330.06</v>
      </c>
      <c r="F33" s="42">
        <v>8511.7199999999993</v>
      </c>
      <c r="G33" s="42">
        <v>4655.09</v>
      </c>
      <c r="H33" s="42">
        <v>1196.99</v>
      </c>
      <c r="I33" s="42">
        <v>0</v>
      </c>
      <c r="J33" s="42">
        <v>0</v>
      </c>
      <c r="K33" s="42">
        <v>1789.01</v>
      </c>
      <c r="L33" s="42">
        <v>56.96</v>
      </c>
      <c r="M33" s="42">
        <f t="shared" si="0"/>
        <v>112084.59</v>
      </c>
      <c r="N33" s="42">
        <v>13445.67</v>
      </c>
      <c r="O33" s="42">
        <v>22370.55</v>
      </c>
      <c r="P33" s="42">
        <f>SUM(12345.34+2088)</f>
        <v>14433.34</v>
      </c>
      <c r="Q33" s="42">
        <f t="shared" si="1"/>
        <v>162334.15</v>
      </c>
      <c r="R33" s="42"/>
      <c r="S33" s="42"/>
      <c r="T33" s="42"/>
    </row>
    <row r="34" spans="1:20" s="37" customFormat="1" x14ac:dyDescent="0.25">
      <c r="A34" s="34" t="s">
        <v>55</v>
      </c>
      <c r="B34" s="50">
        <v>29</v>
      </c>
      <c r="C34" s="47">
        <v>2056.3200000000002</v>
      </c>
      <c r="D34" s="47">
        <v>2342.85</v>
      </c>
      <c r="E34" s="47">
        <v>7298.22</v>
      </c>
      <c r="F34" s="47">
        <v>1146.1400000000001</v>
      </c>
      <c r="G34" s="47">
        <v>337.11</v>
      </c>
      <c r="H34" s="47">
        <v>295.06</v>
      </c>
      <c r="I34" s="47">
        <v>0</v>
      </c>
      <c r="J34" s="47">
        <v>1297.8599999999999</v>
      </c>
      <c r="K34" s="47">
        <v>3.57</v>
      </c>
      <c r="L34" s="47">
        <f>SUM(30.09+58.76+205.66+58.76+88.14+146.9+205.66+29.38)</f>
        <v>823.34999999999991</v>
      </c>
      <c r="M34" s="47">
        <f t="shared" si="0"/>
        <v>15600.48</v>
      </c>
      <c r="N34" s="47">
        <f>SUM(1460.2+575.78)</f>
        <v>2035.98</v>
      </c>
      <c r="O34" s="47">
        <f>SUM(3120.11+29)</f>
        <v>3149.11</v>
      </c>
      <c r="P34" s="47">
        <f>SUM(1560.05+290)</f>
        <v>1850.05</v>
      </c>
      <c r="Q34" s="47">
        <f t="shared" si="1"/>
        <v>22635.62</v>
      </c>
      <c r="R34" s="47"/>
      <c r="S34" s="47"/>
      <c r="T34" s="47"/>
    </row>
    <row r="35" spans="1:20" s="37" customFormat="1" x14ac:dyDescent="0.25">
      <c r="A35" s="34" t="s">
        <v>56</v>
      </c>
      <c r="B35" s="54">
        <v>0</v>
      </c>
      <c r="C35" s="47"/>
      <c r="D35" s="47"/>
      <c r="E35" s="47">
        <v>0</v>
      </c>
      <c r="F35" s="47">
        <v>0</v>
      </c>
      <c r="G35" s="47">
        <v>0</v>
      </c>
      <c r="H35" s="47">
        <v>0</v>
      </c>
      <c r="I35" s="47">
        <v>0</v>
      </c>
      <c r="J35" s="47">
        <v>0</v>
      </c>
      <c r="K35" s="47">
        <v>0</v>
      </c>
      <c r="L35" s="47">
        <v>0</v>
      </c>
      <c r="M35" s="47">
        <v>0</v>
      </c>
      <c r="N35" s="47">
        <v>0</v>
      </c>
      <c r="O35" s="47">
        <v>0</v>
      </c>
      <c r="P35" s="47">
        <v>0</v>
      </c>
      <c r="Q35" s="47">
        <f t="shared" si="1"/>
        <v>0</v>
      </c>
      <c r="R35" s="47"/>
      <c r="S35" s="47"/>
      <c r="T35" s="47"/>
    </row>
    <row r="36" spans="1:20" x14ac:dyDescent="0.25">
      <c r="A36" s="5" t="s">
        <v>57</v>
      </c>
      <c r="B36" s="40">
        <v>35</v>
      </c>
      <c r="C36" s="42">
        <f>SUM(2422.56+2422.56/21061.59*1113.17)+(2422.56/21061.59*1775.24)</f>
        <v>2754.7925868844659</v>
      </c>
      <c r="D36" s="42">
        <f>SUM(1875.33+1875.33/21061.59*1113.17)+(1875.33/21061.59*1775.24)+175</f>
        <v>2307.5148528672339</v>
      </c>
      <c r="E36" s="42">
        <f>SUM(8950.64+8950.64/21061.59*1113.17)+(8950.64/21061.59*1775.24)</f>
        <v>10178.140776646018</v>
      </c>
      <c r="F36" s="42">
        <f>SUM(2563.18+2563.18/21061.59*1113.17)+(2563.18/21061.59*1775.24)</f>
        <v>2914.6973709012473</v>
      </c>
      <c r="G36" s="42">
        <f>SUM(1577.2+1577.2/21061.59*1113.17)+(1577.2/21061.59*1775.24)</f>
        <v>1793.4989713502162</v>
      </c>
      <c r="H36" s="42">
        <f>SUM(1340.61+1340.61/21061.59*1113.17)+(1340.61/21061.59*1775.24)</f>
        <v>1524.4627542365033</v>
      </c>
      <c r="I36" s="42">
        <f>SUM(295.72+295.72/21061.59*1113.17)+(295.72/21061.59*1775.24)</f>
        <v>336.27537142257546</v>
      </c>
      <c r="J36" s="42">
        <f>SUM(1971.5+1971.5/21061.59*1113.17)+(1971.5/21061.59*1775.24)</f>
        <v>2241.8737141877705</v>
      </c>
      <c r="K36" s="42">
        <f>SUM(23+23/21061.59*1113.17)+(23/21061.59*1775.24)</f>
        <v>26.154245714592296</v>
      </c>
      <c r="L36" s="42">
        <f>SUM(41.85+41.85/21061.59*1113.17)+(41.85/21061.59*1775.24)</f>
        <v>47.589355789377727</v>
      </c>
      <c r="M36" s="42">
        <f t="shared" si="0"/>
        <v>24124.999999999996</v>
      </c>
      <c r="N36" s="42">
        <v>2736.2</v>
      </c>
      <c r="O36" s="42">
        <v>4198.1400000000003</v>
      </c>
      <c r="P36" s="42">
        <v>2589.06</v>
      </c>
      <c r="Q36" s="42">
        <f t="shared" si="1"/>
        <v>33648.399999999994</v>
      </c>
      <c r="R36" s="42"/>
      <c r="S36" s="42"/>
      <c r="T36" s="42"/>
    </row>
    <row r="37" spans="1:20" x14ac:dyDescent="0.25">
      <c r="A37" s="34" t="s">
        <v>58</v>
      </c>
      <c r="B37" s="50">
        <v>317</v>
      </c>
      <c r="C37" s="51">
        <f>SUM(57386.48+57386.48/558865.7*55886.67)+(57386.48/558865.7*27541.08)</f>
        <v>65953.162311725348</v>
      </c>
      <c r="D37" s="51">
        <f>SUM(39560.48+39560.48/558865.7*55886.67)+(39560.48/558865.7*27541.08)+13728</f>
        <v>59194.088154731988</v>
      </c>
      <c r="E37" s="51">
        <f>SUM(348081.94+348081.94/558865.7*55886.67)+(348081.94/558865.7*27541.08)</f>
        <v>400043.78534108103</v>
      </c>
      <c r="F37" s="52">
        <v>0</v>
      </c>
      <c r="G37" s="51">
        <f>SUM(13170.67+13170.67/558865.7*55886.67)+(13170.67/558865.7*27541.08)</f>
        <v>15136.79417633163</v>
      </c>
      <c r="H37" s="51">
        <f>SUM(1505.29+1505.29/558865.7*55886.67)+(1505.29/558865.7*27541.08)</f>
        <v>1730.0004408044724</v>
      </c>
      <c r="I37" s="53">
        <f>SUM(235.69+235.69/558865.7*55886.67)+(235.69/558865.7*27541.08)</f>
        <v>270.87392056893094</v>
      </c>
      <c r="J37" s="52">
        <v>0</v>
      </c>
      <c r="K37" s="52">
        <v>0</v>
      </c>
      <c r="L37" s="51">
        <f>SUM(98925.15+98925.15/558865.7*55886.67)+(98925.15/558865.7*27541.08)</f>
        <v>113692.7456547566</v>
      </c>
      <c r="M37" s="47">
        <f t="shared" si="0"/>
        <v>656021.44999999995</v>
      </c>
      <c r="N37" s="47">
        <v>73772.73</v>
      </c>
      <c r="O37" s="47">
        <v>129082.7</v>
      </c>
      <c r="P37" s="47">
        <v>68909.5</v>
      </c>
      <c r="Q37" s="47">
        <f t="shared" si="1"/>
        <v>927786.37999999989</v>
      </c>
      <c r="R37" s="42"/>
      <c r="S37" s="42"/>
      <c r="T37" s="42"/>
    </row>
    <row r="38" spans="1:20" x14ac:dyDescent="0.25">
      <c r="A38" s="5" t="s">
        <v>59</v>
      </c>
      <c r="B38" s="40">
        <v>44</v>
      </c>
      <c r="C38" s="42">
        <f>SUM(1836.83+1836.83/14550.65*1455.09)+(1836.83/14550.65*910.78)</f>
        <v>2135.4902654932939</v>
      </c>
      <c r="D38" s="42">
        <f>SUM(2408.96+2408.96/14550.65*1455.09)+(2408.96/14550.65*910.78)+440</f>
        <v>3240.6460205695275</v>
      </c>
      <c r="E38" s="42">
        <f>SUM(6594.563+6594.53/14550.65*1455.09)+(6594.53/14550.65*910.78)</f>
        <v>7666.8038065000528</v>
      </c>
      <c r="F38" s="42">
        <f>SUM(1264.7+1264.7/14550.65*1455.09)+(1264.7/14550.65*910.78)</f>
        <v>1470.3345104170605</v>
      </c>
      <c r="G38" s="42">
        <f>SUM(752.8+752.8/14550.65*1455.09)+(752.8/14550.65*910.78)</f>
        <v>875.20188142797747</v>
      </c>
      <c r="H38" s="42">
        <f>SUM(677.53+677.53/14550.65*1455.09)+(677.53/14550.65*910.78)</f>
        <v>787.69331924003393</v>
      </c>
      <c r="I38" s="42">
        <f>SUM(225.83+225.83/14550.65*1455.09)+(225.83/14550.65*910.78)</f>
        <v>262.54893847353901</v>
      </c>
      <c r="J38" s="42">
        <f>SUM(677.53+677.53/14550.65*1455.09)+(677.53/14550.65*910.78)</f>
        <v>787.69331924003393</v>
      </c>
      <c r="K38" s="42">
        <f>SUM(2.71+2.71/14550.65*1455.09)+(2.71/14550.65*910.78)</f>
        <v>3.1506337655018846</v>
      </c>
      <c r="L38" s="42">
        <f>SUM(109.23+109.23/14550.65*1455.09)</f>
        <v>120.15318767202839</v>
      </c>
      <c r="M38" s="42">
        <f t="shared" si="0"/>
        <v>17349.71588279905</v>
      </c>
      <c r="N38" s="42">
        <v>2210.06</v>
      </c>
      <c r="O38" s="42">
        <v>3484.09</v>
      </c>
      <c r="P38" s="42">
        <v>3197.45</v>
      </c>
      <c r="Q38" s="42">
        <f t="shared" si="1"/>
        <v>26241.315882799052</v>
      </c>
      <c r="R38" s="42"/>
      <c r="S38" s="42"/>
      <c r="T38" s="42"/>
    </row>
    <row r="39" spans="1:20" s="37" customFormat="1" x14ac:dyDescent="0.25">
      <c r="A39" s="34" t="s">
        <v>167</v>
      </c>
      <c r="B39" s="50">
        <v>191</v>
      </c>
      <c r="C39" s="47">
        <v>28238.82</v>
      </c>
      <c r="D39" s="47">
        <f>SUM(27312.36+1587.21)</f>
        <v>28899.57</v>
      </c>
      <c r="E39" s="47">
        <v>137953.26</v>
      </c>
      <c r="F39" s="47">
        <v>14350.85</v>
      </c>
      <c r="G39" s="47">
        <v>13887.76</v>
      </c>
      <c r="H39" s="47">
        <v>6249.59</v>
      </c>
      <c r="I39" s="47">
        <v>2777.51</v>
      </c>
      <c r="J39" s="47">
        <v>0</v>
      </c>
      <c r="K39" s="47">
        <f>SUM(62.25+18442.86)</f>
        <v>18505.11</v>
      </c>
      <c r="L39" s="47">
        <v>0</v>
      </c>
      <c r="M39" s="47">
        <f t="shared" si="0"/>
        <v>250862.47000000003</v>
      </c>
      <c r="N39" s="47">
        <f>SUM(23330.06+6449.05)</f>
        <v>29779.11</v>
      </c>
      <c r="O39" s="47">
        <f>SUM(49821.99+452.73)</f>
        <v>50274.720000000001</v>
      </c>
      <c r="P39" s="47">
        <f>SUM(24910.92+1131.83+6203.21+2263.67)</f>
        <v>34509.629999999997</v>
      </c>
      <c r="Q39" s="47">
        <f t="shared" si="1"/>
        <v>365425.93000000005</v>
      </c>
      <c r="R39" s="47"/>
      <c r="S39" s="47"/>
      <c r="T39" s="47"/>
    </row>
    <row r="40" spans="1:20" x14ac:dyDescent="0.25">
      <c r="A40" s="5" t="s">
        <v>60</v>
      </c>
      <c r="B40" s="40">
        <v>121</v>
      </c>
      <c r="C40" s="42">
        <v>16852.16</v>
      </c>
      <c r="D40" s="42">
        <v>20054.53</v>
      </c>
      <c r="E40" s="42">
        <v>78547.88</v>
      </c>
      <c r="F40" s="42">
        <v>11464.95</v>
      </c>
      <c r="G40" s="42">
        <v>7942.57</v>
      </c>
      <c r="H40" s="42">
        <v>0</v>
      </c>
      <c r="I40" s="42">
        <v>1243.21</v>
      </c>
      <c r="J40" s="42">
        <v>0</v>
      </c>
      <c r="K40" s="42">
        <v>0</v>
      </c>
      <c r="L40" s="42">
        <v>1933.8</v>
      </c>
      <c r="M40" s="42">
        <f t="shared" si="0"/>
        <v>138039.09999999998</v>
      </c>
      <c r="N40" s="42">
        <v>17728.18</v>
      </c>
      <c r="O40" s="42">
        <v>28728.84</v>
      </c>
      <c r="P40" s="42">
        <f>SUM(14243.38+1815)</f>
        <v>16058.38</v>
      </c>
      <c r="Q40" s="42">
        <f t="shared" si="1"/>
        <v>200554.49999999997</v>
      </c>
      <c r="R40" s="42"/>
      <c r="S40" s="42"/>
      <c r="T40" s="42"/>
    </row>
    <row r="41" spans="1:20" x14ac:dyDescent="0.25">
      <c r="A41" s="5" t="s">
        <v>61</v>
      </c>
      <c r="B41" s="40">
        <v>1</v>
      </c>
      <c r="C41" s="42">
        <f>SUM(27.45+27.45/218.27*21.83)+(27.45/218.27*13.69)</f>
        <v>31.917054565446463</v>
      </c>
      <c r="D41" s="42">
        <f>SUM(31.28+31.28/218.27*21.83)+(31.28/218.27*13.69)</f>
        <v>36.370326659641734</v>
      </c>
      <c r="E41" s="42">
        <f>SUM(109.58+109.58/218.27*21.83)+ (109.58/218.27*13.69)</f>
        <v>127.41241673157099</v>
      </c>
      <c r="F41" s="42">
        <f>SUM(18+18/218.27*21.83)+(18/218.27*13.69)</f>
        <v>20.929216108489484</v>
      </c>
      <c r="G41" s="42">
        <f>SUM(9+9/218.27*21.83)+(9/218.27*13.69)</f>
        <v>10.464608054244742</v>
      </c>
      <c r="H41" s="42">
        <f>SUM(12.83+12.83/218.27*21.83)+(12.83/218.27*13.69)</f>
        <v>14.917880148440005</v>
      </c>
      <c r="I41" s="42">
        <f>SUM(5.85+5.85/218.27*21.83)+(5.85/218.27*13.69)</f>
        <v>6.8019952352590831</v>
      </c>
      <c r="J41" s="42">
        <v>0</v>
      </c>
      <c r="K41" s="42">
        <v>0</v>
      </c>
      <c r="L41" s="42">
        <f>SUM(4.28+4.28/218.27*21.83)+(4.28/218.27*13.69)</f>
        <v>4.9765024969075</v>
      </c>
      <c r="M41" s="42">
        <f t="shared" si="0"/>
        <v>253.79</v>
      </c>
      <c r="N41" s="42">
        <f>SUM(24.01+9.63)</f>
        <v>33.64</v>
      </c>
      <c r="O41" s="42">
        <f>SUM(50.76+1)</f>
        <v>51.76</v>
      </c>
      <c r="P41" s="42">
        <f>SUM(25.38+10)</f>
        <v>35.379999999999995</v>
      </c>
      <c r="Q41" s="42">
        <f t="shared" si="1"/>
        <v>374.57</v>
      </c>
      <c r="R41" s="42"/>
      <c r="S41" s="42"/>
      <c r="T41" s="42"/>
    </row>
    <row r="42" spans="1:20" x14ac:dyDescent="0.25">
      <c r="A42" s="5" t="s">
        <v>62</v>
      </c>
      <c r="B42" s="40">
        <v>21</v>
      </c>
      <c r="C42" s="42">
        <v>2167.0100000000002</v>
      </c>
      <c r="D42" s="42">
        <v>1748.85</v>
      </c>
      <c r="E42" s="42">
        <v>11598.83</v>
      </c>
      <c r="F42" s="42">
        <v>2042.71</v>
      </c>
      <c r="G42" s="42">
        <v>976.98</v>
      </c>
      <c r="H42" s="42">
        <v>994.68</v>
      </c>
      <c r="I42" s="42">
        <v>159.86000000000001</v>
      </c>
      <c r="J42" s="42">
        <v>0</v>
      </c>
      <c r="K42" s="42">
        <f>SUM(2.73+248.12)</f>
        <v>250.85</v>
      </c>
      <c r="L42" s="42">
        <f>SUM(109.84)</f>
        <v>109.84</v>
      </c>
      <c r="M42" s="42">
        <f t="shared" si="0"/>
        <v>20049.61</v>
      </c>
      <c r="N42" s="42">
        <v>2673.84</v>
      </c>
      <c r="O42" s="42">
        <f>SUM(4018.35)</f>
        <v>4018.35</v>
      </c>
      <c r="P42" s="42">
        <v>2303.19</v>
      </c>
      <c r="Q42" s="42">
        <f t="shared" si="1"/>
        <v>29044.989999999998</v>
      </c>
      <c r="R42" s="42"/>
      <c r="S42" s="42"/>
      <c r="T42" s="42"/>
    </row>
    <row r="43" spans="1:20" x14ac:dyDescent="0.25">
      <c r="A43" s="5" t="s">
        <v>63</v>
      </c>
      <c r="B43" s="40">
        <v>30</v>
      </c>
      <c r="C43" s="42">
        <v>2966.98</v>
      </c>
      <c r="D43" s="42">
        <v>2335.5700000000002</v>
      </c>
      <c r="E43" s="42">
        <v>15564.56</v>
      </c>
      <c r="F43" s="42">
        <v>1629.4</v>
      </c>
      <c r="G43" s="42">
        <v>972.78</v>
      </c>
      <c r="H43" s="42">
        <v>924.15</v>
      </c>
      <c r="I43" s="42">
        <v>201.87</v>
      </c>
      <c r="J43" s="42">
        <v>0</v>
      </c>
      <c r="K43" s="42">
        <f>SUM(812.07+625.48+7.93+123.57)</f>
        <v>1569.0500000000002</v>
      </c>
      <c r="L43" s="42">
        <f>SUM(513.94+208.14+1766.27+384.07)</f>
        <v>2872.42</v>
      </c>
      <c r="M43" s="42">
        <f t="shared" si="0"/>
        <v>29036.78</v>
      </c>
      <c r="N43" s="42">
        <v>3685.81</v>
      </c>
      <c r="O43" s="42">
        <v>5789.36</v>
      </c>
      <c r="P43" s="42">
        <v>3314.69</v>
      </c>
      <c r="Q43" s="42">
        <f>SUM(M43:P43)</f>
        <v>41826.639999999999</v>
      </c>
      <c r="R43" s="42"/>
      <c r="S43" s="42"/>
      <c r="T43" s="42"/>
    </row>
    <row r="44" spans="1:20" s="37" customFormat="1" x14ac:dyDescent="0.25">
      <c r="A44" s="34" t="s">
        <v>64</v>
      </c>
      <c r="B44" s="50">
        <v>62</v>
      </c>
      <c r="C44" s="47">
        <v>6404.85</v>
      </c>
      <c r="D44" s="47">
        <v>8098.84</v>
      </c>
      <c r="E44" s="47">
        <v>33575.58</v>
      </c>
      <c r="F44" s="47">
        <v>4987.4399999999996</v>
      </c>
      <c r="G44" s="47">
        <v>1469.96</v>
      </c>
      <c r="H44" s="47">
        <v>2887.49</v>
      </c>
      <c r="I44" s="47">
        <v>524.99</v>
      </c>
      <c r="J44" s="47">
        <v>0</v>
      </c>
      <c r="K44" s="47">
        <f>SUM(4.08+1423.82)</f>
        <v>1427.8999999999999</v>
      </c>
      <c r="L44" s="47">
        <v>840.01</v>
      </c>
      <c r="M44" s="47">
        <f t="shared" si="0"/>
        <v>60217.060000000005</v>
      </c>
      <c r="N44" s="47">
        <v>7506.55</v>
      </c>
      <c r="O44" s="47">
        <v>12080.61</v>
      </c>
      <c r="P44" s="47">
        <f>SUM(930+5978.3)</f>
        <v>6908.3</v>
      </c>
      <c r="Q44" s="47">
        <f t="shared" si="1"/>
        <v>86712.52</v>
      </c>
      <c r="R44" s="47"/>
      <c r="S44" s="47"/>
      <c r="T44" s="47"/>
    </row>
    <row r="45" spans="1:20" x14ac:dyDescent="0.25">
      <c r="A45" s="5" t="s">
        <v>65</v>
      </c>
      <c r="B45" s="40">
        <v>72</v>
      </c>
      <c r="C45" s="42">
        <v>4636.67</v>
      </c>
      <c r="D45" s="42">
        <v>4186.53</v>
      </c>
      <c r="E45" s="42">
        <v>13251.28</v>
      </c>
      <c r="F45" s="47">
        <v>2090.3000000000002</v>
      </c>
      <c r="G45" s="47">
        <v>1330.19</v>
      </c>
      <c r="H45" s="42">
        <v>0</v>
      </c>
      <c r="I45" s="42">
        <v>0</v>
      </c>
      <c r="J45" s="42">
        <v>0</v>
      </c>
      <c r="K45" s="42">
        <f>SUM(197.91+1.31+1885.99)</f>
        <v>2085.21</v>
      </c>
      <c r="L45" s="42">
        <f>SUM(798.13+105.83+2.87+192.67)</f>
        <v>1099.5</v>
      </c>
      <c r="M45" s="42">
        <f t="shared" si="0"/>
        <v>28679.68</v>
      </c>
      <c r="N45" s="42">
        <v>3661.55</v>
      </c>
      <c r="O45" s="42">
        <v>5764.76</v>
      </c>
      <c r="P45" s="42">
        <f>SUM(2810.36+1080)</f>
        <v>3890.36</v>
      </c>
      <c r="Q45" s="42">
        <f t="shared" si="1"/>
        <v>41996.35</v>
      </c>
      <c r="R45" s="42"/>
      <c r="S45" s="42"/>
      <c r="T45" s="42"/>
    </row>
    <row r="46" spans="1:20" x14ac:dyDescent="0.25">
      <c r="A46" s="5" t="s">
        <v>66</v>
      </c>
      <c r="B46" s="40">
        <v>73</v>
      </c>
      <c r="C46" s="42">
        <v>8167.49</v>
      </c>
      <c r="D46" s="42">
        <f>SUM(4552.38+292)</f>
        <v>4844.38</v>
      </c>
      <c r="E46" s="42">
        <v>32803.9</v>
      </c>
      <c r="F46" s="42">
        <v>5690.55</v>
      </c>
      <c r="G46" s="42">
        <f>SUM(1740.66+3012.65)</f>
        <v>4753.3100000000004</v>
      </c>
      <c r="H46" s="42">
        <v>2410.12</v>
      </c>
      <c r="I46" s="42">
        <v>0</v>
      </c>
      <c r="J46" s="42">
        <v>0</v>
      </c>
      <c r="K46" s="42">
        <f>SUM(248.88+2.91)</f>
        <v>251.79</v>
      </c>
      <c r="L46" s="42">
        <v>0</v>
      </c>
      <c r="M46" s="42">
        <f t="shared" si="0"/>
        <v>58921.540000000008</v>
      </c>
      <c r="N46" s="42">
        <f>SUM(5546.57+2279.74)</f>
        <v>7826.3099999999995</v>
      </c>
      <c r="O46" s="42">
        <f>SUM(11725.91+146)</f>
        <v>11871.91</v>
      </c>
      <c r="P46" s="42">
        <f>SUM(5862.96+365+730)</f>
        <v>6957.96</v>
      </c>
      <c r="Q46" s="42">
        <f t="shared" si="1"/>
        <v>85577.720000000016</v>
      </c>
      <c r="R46" s="42"/>
      <c r="S46" s="42"/>
      <c r="T46" s="42"/>
    </row>
    <row r="47" spans="1:20" x14ac:dyDescent="0.25">
      <c r="A47" s="34" t="s">
        <v>67</v>
      </c>
      <c r="B47" s="50">
        <v>14</v>
      </c>
      <c r="C47" s="47">
        <v>702.86</v>
      </c>
      <c r="D47" s="47">
        <v>616.45000000000005</v>
      </c>
      <c r="E47" s="47">
        <v>2915.15</v>
      </c>
      <c r="F47" s="47">
        <v>478.16</v>
      </c>
      <c r="G47" s="47">
        <v>195.88</v>
      </c>
      <c r="H47" s="47">
        <v>293.81</v>
      </c>
      <c r="I47" s="47">
        <v>0</v>
      </c>
      <c r="J47" s="47">
        <v>576.11</v>
      </c>
      <c r="K47" s="47">
        <v>0.56000000000000005</v>
      </c>
      <c r="L47" s="47">
        <v>0</v>
      </c>
      <c r="M47" s="47">
        <f t="shared" si="0"/>
        <v>5778.9800000000005</v>
      </c>
      <c r="N47" s="47">
        <v>770.82</v>
      </c>
      <c r="O47" s="47">
        <v>1185.79</v>
      </c>
      <c r="P47" s="47">
        <f>SUM(577.9+150)</f>
        <v>727.9</v>
      </c>
      <c r="Q47" s="47">
        <f t="shared" si="1"/>
        <v>8463.49</v>
      </c>
      <c r="R47" s="47"/>
      <c r="S47" s="42"/>
      <c r="T47" s="42"/>
    </row>
    <row r="48" spans="1:20" x14ac:dyDescent="0.25">
      <c r="A48" s="5" t="s">
        <v>68</v>
      </c>
      <c r="B48" s="40">
        <v>196</v>
      </c>
      <c r="C48" s="42">
        <v>16607.669999999998</v>
      </c>
      <c r="D48" s="42">
        <v>40108.82</v>
      </c>
      <c r="E48" s="42">
        <v>113228.41</v>
      </c>
      <c r="F48" s="42">
        <v>12660.05</v>
      </c>
      <c r="G48" s="42">
        <v>8167.74</v>
      </c>
      <c r="H48" s="42">
        <v>2994.85</v>
      </c>
      <c r="I48" s="42">
        <v>0</v>
      </c>
      <c r="J48" s="42">
        <v>8802.26</v>
      </c>
      <c r="K48" s="42">
        <f>SUM(5637.28+27.13)</f>
        <v>5664.41</v>
      </c>
      <c r="L48" s="42">
        <v>4276.2299999999996</v>
      </c>
      <c r="M48" s="42">
        <f t="shared" si="0"/>
        <v>212510.44</v>
      </c>
      <c r="N48" s="42">
        <v>26378.71</v>
      </c>
      <c r="O48" s="42">
        <v>42658.85</v>
      </c>
      <c r="P48" s="42">
        <f>SUM(21133.37+2940)</f>
        <v>24073.37</v>
      </c>
      <c r="Q48" s="42">
        <f t="shared" si="1"/>
        <v>305621.37</v>
      </c>
      <c r="R48" s="42"/>
      <c r="S48" s="42"/>
      <c r="T48" s="42"/>
    </row>
    <row r="49" spans="1:20" x14ac:dyDescent="0.25">
      <c r="A49" s="5" t="s">
        <v>69</v>
      </c>
      <c r="B49" s="40">
        <v>12</v>
      </c>
      <c r="C49" s="42">
        <v>920.99</v>
      </c>
      <c r="D49" s="42">
        <v>614.74</v>
      </c>
      <c r="E49" s="42">
        <v>4484.16</v>
      </c>
      <c r="F49" s="42">
        <v>875.69</v>
      </c>
      <c r="G49" s="42">
        <v>207.6</v>
      </c>
      <c r="H49" s="42">
        <v>0</v>
      </c>
      <c r="I49" s="42">
        <v>0</v>
      </c>
      <c r="J49" s="42">
        <v>0</v>
      </c>
      <c r="K49" s="42">
        <v>3.24</v>
      </c>
      <c r="L49" s="42">
        <v>0</v>
      </c>
      <c r="M49" s="42">
        <f t="shared" si="0"/>
        <v>7106.42</v>
      </c>
      <c r="N49" s="42">
        <v>807.51</v>
      </c>
      <c r="O49" s="42">
        <v>1382.9</v>
      </c>
      <c r="P49" s="42">
        <f>SUM(691.45+180)</f>
        <v>871.45</v>
      </c>
      <c r="Q49" s="42">
        <f t="shared" si="1"/>
        <v>10168.280000000001</v>
      </c>
      <c r="R49" s="42"/>
      <c r="S49" s="42"/>
      <c r="T49" s="42"/>
    </row>
    <row r="50" spans="1:20" x14ac:dyDescent="0.25">
      <c r="A50" s="34" t="s">
        <v>70</v>
      </c>
      <c r="B50" s="50">
        <v>202</v>
      </c>
      <c r="C50" s="47">
        <v>2861</v>
      </c>
      <c r="D50" s="47">
        <v>2588.7600000000002</v>
      </c>
      <c r="E50" s="47">
        <f>SUM(12309.6+2379.6)</f>
        <v>14689.2</v>
      </c>
      <c r="F50" s="47">
        <v>0</v>
      </c>
      <c r="G50" s="47">
        <v>514</v>
      </c>
      <c r="H50" s="47">
        <v>279.29000000000002</v>
      </c>
      <c r="I50" s="47">
        <v>0</v>
      </c>
      <c r="J50" s="47">
        <v>0</v>
      </c>
      <c r="K50" s="47">
        <f>SUM(350.39+270+300+60+150+100+30)</f>
        <v>1260.3899999999999</v>
      </c>
      <c r="L50" s="47">
        <v>0</v>
      </c>
      <c r="M50" s="47">
        <f t="shared" si="0"/>
        <v>22192.639999999999</v>
      </c>
      <c r="N50" s="47">
        <f>SUM(1720.48+416.88)</f>
        <v>2137.36</v>
      </c>
      <c r="O50" s="47">
        <v>4240.2</v>
      </c>
      <c r="P50" s="47">
        <f>SUM(2009+3119.3+450)</f>
        <v>5578.3</v>
      </c>
      <c r="Q50" s="47">
        <f t="shared" si="1"/>
        <v>34148.5</v>
      </c>
      <c r="R50" s="42"/>
      <c r="S50" s="42"/>
      <c r="T50" s="42"/>
    </row>
    <row r="51" spans="1:20" x14ac:dyDescent="0.25">
      <c r="A51" s="34" t="s">
        <v>71</v>
      </c>
      <c r="B51" s="50">
        <v>80</v>
      </c>
      <c r="C51" s="47">
        <f>SUM(7822.42+7822.42/74796.06*4039.44)+(7822.42/74796.06*6432.41)</f>
        <v>8917.6008006598204</v>
      </c>
      <c r="D51" s="47">
        <f>SUM(26609.05+26609.05/74796.06*4039.44)+(26609.05/74796.06*6432.41)</f>
        <v>30334.459871088129</v>
      </c>
      <c r="E51" s="47">
        <f>SUM(21079.43+21079.43/74796.06*4039.44)+(21079.43/74796.06*6432.41)</f>
        <v>24030.663381083177</v>
      </c>
      <c r="F51" s="47">
        <f>SUM(5450.15+5450.15/74796.06*4039.44)+(5450.15/74796.06*6432.41)</f>
        <v>6213.2002633093234</v>
      </c>
      <c r="G51" s="47">
        <f>SUM(3526.59+3526.59/74796.06*4039.44)+(3526.59/74796.06*6432.41)</f>
        <v>4020.3315352025229</v>
      </c>
      <c r="H51" s="47">
        <f>SUM(5770.65+5770.65/74796.06*4039.44)+(5770.65/74796.06*6432.41)</f>
        <v>6578.5719841593263</v>
      </c>
      <c r="I51" s="47">
        <f>SUM(705.33+705.33/74796.06*4039.44)+(705.33/74796.06*6432.41)</f>
        <v>804.07998710493575</v>
      </c>
      <c r="J51" s="47">
        <v>0</v>
      </c>
      <c r="K51" s="47">
        <f>SUM(28.08+28.08/74796.06*4039.44)+(28.08/74796.06*6432.41)</f>
        <v>32.011350769011095</v>
      </c>
      <c r="L51" s="47">
        <f>SUM(3804.36+3804.36/74796.06*4039.44)+(3804.36/74796.06*6432.41)</f>
        <v>4336.9908266237553</v>
      </c>
      <c r="M51" s="47">
        <f t="shared" si="0"/>
        <v>85267.910000000018</v>
      </c>
      <c r="N51" s="47">
        <f>SUM(80789.66+10033.03)</f>
        <v>90822.69</v>
      </c>
      <c r="O51" s="47">
        <v>15119.24</v>
      </c>
      <c r="P51" s="47">
        <f>SUM(2000+7479.66)</f>
        <v>9479.66</v>
      </c>
      <c r="Q51" s="47">
        <f t="shared" si="1"/>
        <v>200689.50000000003</v>
      </c>
      <c r="R51" s="42"/>
      <c r="S51" s="42"/>
      <c r="T51" s="42"/>
    </row>
    <row r="52" spans="1:20" x14ac:dyDescent="0.25">
      <c r="A52" s="5" t="s">
        <v>72</v>
      </c>
      <c r="B52" s="40">
        <v>28</v>
      </c>
      <c r="C52" s="42">
        <v>2979.11</v>
      </c>
      <c r="D52" s="42">
        <v>2742.72</v>
      </c>
      <c r="E52" s="42">
        <v>11550.11</v>
      </c>
      <c r="F52" s="42">
        <v>1709.36</v>
      </c>
      <c r="G52" s="42">
        <v>1098.9000000000001</v>
      </c>
      <c r="H52" s="42">
        <v>1220.96</v>
      </c>
      <c r="I52" s="42">
        <v>268.63</v>
      </c>
      <c r="J52" s="42">
        <v>0</v>
      </c>
      <c r="K52" s="42">
        <v>1290.0899999999999</v>
      </c>
      <c r="L52" s="42">
        <v>0</v>
      </c>
      <c r="M52" s="42">
        <f t="shared" si="0"/>
        <v>22859.880000000005</v>
      </c>
      <c r="N52" s="42">
        <v>2818.07</v>
      </c>
      <c r="O52" s="42">
        <v>4577.5600000000004</v>
      </c>
      <c r="P52" s="42">
        <v>2680.76</v>
      </c>
      <c r="Q52" s="42">
        <f t="shared" si="1"/>
        <v>32936.270000000004</v>
      </c>
      <c r="R52" s="42"/>
      <c r="S52" s="42"/>
      <c r="T52" s="42"/>
    </row>
    <row r="53" spans="1:20" s="37" customFormat="1" x14ac:dyDescent="0.25">
      <c r="A53" s="34" t="s">
        <v>73</v>
      </c>
      <c r="B53" s="50">
        <v>35</v>
      </c>
      <c r="C53" s="47">
        <v>2157.42</v>
      </c>
      <c r="D53" s="47">
        <v>2235.2399999999998</v>
      </c>
      <c r="E53" s="47">
        <v>10509.32</v>
      </c>
      <c r="F53" s="47">
        <v>1202.02</v>
      </c>
      <c r="G53" s="47">
        <v>0</v>
      </c>
      <c r="H53" s="47">
        <v>0</v>
      </c>
      <c r="I53" s="47">
        <v>0</v>
      </c>
      <c r="J53" s="47">
        <v>1307.8</v>
      </c>
      <c r="K53" s="47">
        <f>SUM(2.73+540.25)</f>
        <v>542.98</v>
      </c>
      <c r="L53" s="47">
        <v>0</v>
      </c>
      <c r="M53" s="47">
        <f t="shared" si="0"/>
        <v>17954.78</v>
      </c>
      <c r="N53" s="47">
        <v>2192.4699999999998</v>
      </c>
      <c r="O53" s="47">
        <v>3518.55</v>
      </c>
      <c r="P53" s="47">
        <f>SUM(345+1759.32)</f>
        <v>2104.3199999999997</v>
      </c>
      <c r="Q53" s="47">
        <f t="shared" si="1"/>
        <v>25770.12</v>
      </c>
      <c r="R53" s="47"/>
      <c r="S53" s="47"/>
      <c r="T53" s="47"/>
    </row>
    <row r="54" spans="1:20" x14ac:dyDescent="0.25">
      <c r="A54" s="5" t="s">
        <v>74</v>
      </c>
      <c r="B54" s="40">
        <f>SUM(22+87)</f>
        <v>109</v>
      </c>
      <c r="C54" s="42">
        <f>SUM(974.66+4858.35)</f>
        <v>5833.01</v>
      </c>
      <c r="D54" s="42">
        <f>SUM(1026.84+88+5098.83+388)</f>
        <v>6601.67</v>
      </c>
      <c r="E54" s="42">
        <f>SUM(4673.61+24433)</f>
        <v>29106.61</v>
      </c>
      <c r="F54" s="42">
        <f>SUM(695.05+3464.56)</f>
        <v>4159.6099999999997</v>
      </c>
      <c r="G54" s="42">
        <f>SUM(207.71+1035.41)</f>
        <v>1243.1200000000001</v>
      </c>
      <c r="H54" s="42">
        <f>SUM(231.69+1154.88)</f>
        <v>1386.5700000000002</v>
      </c>
      <c r="I54" s="42">
        <v>0</v>
      </c>
      <c r="J54" s="42">
        <v>0</v>
      </c>
      <c r="K54" s="42">
        <v>0</v>
      </c>
      <c r="L54" s="42">
        <v>12.13</v>
      </c>
      <c r="M54" s="42">
        <f t="shared" si="0"/>
        <v>48342.720000000001</v>
      </c>
      <c r="N54" s="42">
        <f>SUM(731.37+212.35+3751.54+1079.57)</f>
        <v>5774.83</v>
      </c>
      <c r="O54" s="42">
        <f>SUM(1561.91+44+8011.42+194)</f>
        <v>9811.33</v>
      </c>
      <c r="P54" s="42">
        <f>SUM(780.96+110+220+4005.68+485+970)</f>
        <v>6571.6399999999994</v>
      </c>
      <c r="Q54" s="42">
        <f t="shared" si="1"/>
        <v>70500.52</v>
      </c>
      <c r="R54" s="42"/>
      <c r="S54" s="42"/>
      <c r="T54" s="42"/>
    </row>
    <row r="55" spans="1:20" x14ac:dyDescent="0.25">
      <c r="A55" s="5" t="s">
        <v>75</v>
      </c>
      <c r="B55" s="40">
        <v>38</v>
      </c>
      <c r="C55" s="42">
        <v>3212.17</v>
      </c>
      <c r="D55" s="42">
        <v>3460.56</v>
      </c>
      <c r="E55" s="42">
        <v>19322.669999999998</v>
      </c>
      <c r="F55" s="42">
        <v>2448.65</v>
      </c>
      <c r="G55" s="42">
        <v>1053.17</v>
      </c>
      <c r="H55" s="42">
        <v>1237.46</v>
      </c>
      <c r="I55" s="42">
        <v>184.28</v>
      </c>
      <c r="J55" s="42">
        <v>0</v>
      </c>
      <c r="K55" s="42">
        <v>643.95000000000005</v>
      </c>
      <c r="L55" s="42">
        <v>131.34</v>
      </c>
      <c r="M55" s="42">
        <f t="shared" si="0"/>
        <v>31694.25</v>
      </c>
      <c r="N55" s="42">
        <v>4017.56</v>
      </c>
      <c r="O55" s="42">
        <v>6338.87</v>
      </c>
      <c r="P55" s="42">
        <f>SUM(3131.4+380)</f>
        <v>3511.4</v>
      </c>
      <c r="Q55" s="42">
        <f t="shared" si="1"/>
        <v>45562.080000000002</v>
      </c>
      <c r="R55" s="42"/>
      <c r="S55" s="42"/>
      <c r="T55" s="42"/>
    </row>
    <row r="56" spans="1:20" x14ac:dyDescent="0.25">
      <c r="A56" s="5" t="s">
        <v>76</v>
      </c>
      <c r="B56" s="40">
        <v>9</v>
      </c>
      <c r="C56" s="42">
        <v>303.85000000000002</v>
      </c>
      <c r="D56" s="42">
        <v>356.16</v>
      </c>
      <c r="E56" s="42">
        <v>1330</v>
      </c>
      <c r="F56" s="42">
        <v>0</v>
      </c>
      <c r="G56" s="42">
        <v>79.7</v>
      </c>
      <c r="H56" s="42">
        <v>129.52000000000001</v>
      </c>
      <c r="I56" s="42">
        <v>0</v>
      </c>
      <c r="J56" s="42">
        <v>0</v>
      </c>
      <c r="K56" s="42">
        <v>134.85</v>
      </c>
      <c r="L56" s="42">
        <f>SUM(32.37+25.1)</f>
        <v>57.47</v>
      </c>
      <c r="M56" s="42">
        <f t="shared" si="0"/>
        <v>2391.5499999999997</v>
      </c>
      <c r="N56" s="42">
        <v>315.12</v>
      </c>
      <c r="O56" s="42">
        <v>487.31</v>
      </c>
      <c r="P56" s="42">
        <f>SUM(90+239.15)</f>
        <v>329.15</v>
      </c>
      <c r="Q56" s="42">
        <f t="shared" si="1"/>
        <v>3523.1299999999997</v>
      </c>
      <c r="R56" s="42"/>
      <c r="S56" s="42"/>
      <c r="T56" s="42"/>
    </row>
    <row r="57" spans="1:20" s="37" customFormat="1" x14ac:dyDescent="0.25">
      <c r="A57" s="34" t="s">
        <v>158</v>
      </c>
      <c r="B57" s="50">
        <v>74</v>
      </c>
      <c r="C57" s="47">
        <f>SUM(8863.25-258.77)</f>
        <v>8604.48</v>
      </c>
      <c r="D57" s="47">
        <f>SUM(10533.61-306.43)</f>
        <v>10227.18</v>
      </c>
      <c r="E57" s="47">
        <f>SUM(48046.26-1337.64)</f>
        <v>46708.62</v>
      </c>
      <c r="F57" s="47">
        <v>0</v>
      </c>
      <c r="G57" s="47">
        <f>SUM(2827.23-73.51)</f>
        <v>2753.72</v>
      </c>
      <c r="H57" s="47">
        <f>SUM(1522.86-40.49)</f>
        <v>1482.37</v>
      </c>
      <c r="I57" s="47">
        <v>0</v>
      </c>
      <c r="J57" s="47">
        <v>0</v>
      </c>
      <c r="K57" s="47">
        <f>SUM(891.98+3.72)</f>
        <v>895.7</v>
      </c>
      <c r="L57" s="47">
        <v>5.07</v>
      </c>
      <c r="M57" s="47">
        <f t="shared" si="0"/>
        <v>70677.14</v>
      </c>
      <c r="N57" s="47">
        <f>SUM(7209.82+8448.86-203.19)</f>
        <v>15455.49</v>
      </c>
      <c r="O57" s="47">
        <f>SUM(14652.84+1354-571.4)</f>
        <v>15435.44</v>
      </c>
      <c r="P57" s="47">
        <f>SUM(885.01-286.7)</f>
        <v>598.30999999999995</v>
      </c>
      <c r="Q57" s="47">
        <f t="shared" si="1"/>
        <v>102166.38</v>
      </c>
      <c r="R57" s="47"/>
      <c r="S57" s="47"/>
      <c r="T57" s="47"/>
    </row>
    <row r="58" spans="1:20" x14ac:dyDescent="0.25">
      <c r="A58" s="5" t="s">
        <v>77</v>
      </c>
      <c r="B58" s="40">
        <v>28</v>
      </c>
      <c r="C58" s="42">
        <v>3131.35</v>
      </c>
      <c r="D58" s="42">
        <v>1771.02</v>
      </c>
      <c r="E58" s="42">
        <v>15554.17</v>
      </c>
      <c r="F58" s="42">
        <v>3054.37</v>
      </c>
      <c r="G58" s="42">
        <v>1925.04</v>
      </c>
      <c r="H58" s="42">
        <v>1796.68</v>
      </c>
      <c r="I58" s="42">
        <v>693.02</v>
      </c>
      <c r="J58" s="42">
        <v>1617.01</v>
      </c>
      <c r="K58" s="42">
        <v>2.37</v>
      </c>
      <c r="L58" s="42">
        <v>140</v>
      </c>
      <c r="M58" s="42">
        <f t="shared" si="0"/>
        <v>29685.03</v>
      </c>
      <c r="N58" s="42">
        <f>SUM(2794.98+1151.19)</f>
        <v>3946.17</v>
      </c>
      <c r="O58" s="42">
        <f>SUM(5909.05+56)</f>
        <v>5965.05</v>
      </c>
      <c r="P58" s="42">
        <f>SUM(2954.52+280+784)</f>
        <v>4018.52</v>
      </c>
      <c r="Q58" s="42">
        <f t="shared" si="1"/>
        <v>43614.77</v>
      </c>
      <c r="R58" s="42"/>
      <c r="S58" s="42"/>
      <c r="T58" s="42"/>
    </row>
    <row r="59" spans="1:20" x14ac:dyDescent="0.25">
      <c r="A59" s="28" t="s">
        <v>177</v>
      </c>
      <c r="B59" s="40">
        <v>1480</v>
      </c>
      <c r="C59" s="42">
        <v>213273.1</v>
      </c>
      <c r="D59" s="42">
        <f>SUM(219216.55+84661.37)</f>
        <v>303877.92</v>
      </c>
      <c r="E59" s="42">
        <v>1237923.6299999999</v>
      </c>
      <c r="F59" s="42">
        <v>0</v>
      </c>
      <c r="G59" s="42">
        <v>0</v>
      </c>
      <c r="H59" s="42">
        <v>0</v>
      </c>
      <c r="I59" s="42">
        <v>0</v>
      </c>
      <c r="J59" s="42">
        <v>0</v>
      </c>
      <c r="K59" s="42">
        <v>107173.86</v>
      </c>
      <c r="L59" s="42">
        <v>218642.78</v>
      </c>
      <c r="M59" s="42">
        <f t="shared" si="0"/>
        <v>2080891.29</v>
      </c>
      <c r="N59" s="42">
        <f>SUM(191185.75+45341.26)</f>
        <v>236527.01</v>
      </c>
      <c r="O59" s="42">
        <f>SUM(392312.25+2970.56)</f>
        <v>395282.81</v>
      </c>
      <c r="P59" s="42">
        <f>SUM(196156.23+7426.43+41588.06+14620)</f>
        <v>259790.72</v>
      </c>
      <c r="Q59" s="42">
        <f t="shared" si="1"/>
        <v>2972491.83</v>
      </c>
      <c r="R59" s="42"/>
      <c r="S59" s="42"/>
      <c r="T59" s="42"/>
    </row>
    <row r="60" spans="1:20" x14ac:dyDescent="0.25">
      <c r="A60" s="5" t="s">
        <v>79</v>
      </c>
      <c r="B60" s="40">
        <v>78</v>
      </c>
      <c r="C60" s="42">
        <v>16507.89</v>
      </c>
      <c r="D60" s="42">
        <v>9361.85</v>
      </c>
      <c r="E60" s="42">
        <v>90929</v>
      </c>
      <c r="F60" s="42">
        <v>13937.01</v>
      </c>
      <c r="G60" s="42">
        <v>4059.34</v>
      </c>
      <c r="H60" s="42">
        <v>2300.35</v>
      </c>
      <c r="I60" s="42">
        <v>0</v>
      </c>
      <c r="J60" s="42">
        <v>0</v>
      </c>
      <c r="K60" s="42">
        <f>SUM(1950.25+289.04)</f>
        <v>2239.29</v>
      </c>
      <c r="L60" s="42"/>
      <c r="M60" s="42">
        <f t="shared" si="0"/>
        <v>139334.73000000001</v>
      </c>
      <c r="N60" s="42">
        <v>16267.64</v>
      </c>
      <c r="O60" s="42">
        <v>27726.54</v>
      </c>
      <c r="P60" s="42">
        <f>SUM(13863.22+1170)</f>
        <v>15033.22</v>
      </c>
      <c r="Q60" s="42">
        <f t="shared" si="1"/>
        <v>198362.13</v>
      </c>
      <c r="R60" s="42"/>
      <c r="S60" s="42"/>
      <c r="T60" s="42"/>
    </row>
    <row r="61" spans="1:20" s="37" customFormat="1" x14ac:dyDescent="0.25">
      <c r="A61" s="34" t="s">
        <v>80</v>
      </c>
      <c r="B61" s="50">
        <v>74</v>
      </c>
      <c r="C61" s="47">
        <v>8041.06</v>
      </c>
      <c r="D61" s="47">
        <v>6244.14</v>
      </c>
      <c r="E61" s="47">
        <v>24828.76</v>
      </c>
      <c r="F61" s="47">
        <v>5602.38</v>
      </c>
      <c r="G61" s="47">
        <v>3954.65</v>
      </c>
      <c r="H61" s="47">
        <v>2122.25</v>
      </c>
      <c r="I61" s="47">
        <v>461.39</v>
      </c>
      <c r="J61" s="47">
        <v>0</v>
      </c>
      <c r="K61" s="47">
        <f>SUM(6.78+1282.18)</f>
        <v>1288.96</v>
      </c>
      <c r="L61" s="47">
        <v>0</v>
      </c>
      <c r="M61" s="47">
        <f t="shared" si="0"/>
        <v>52543.59</v>
      </c>
      <c r="N61" s="47">
        <v>6787.28</v>
      </c>
      <c r="O61" s="47">
        <v>10419.92</v>
      </c>
      <c r="P61" s="47">
        <f>SUM(5209.98+1110)</f>
        <v>6319.98</v>
      </c>
      <c r="Q61" s="47">
        <f t="shared" si="1"/>
        <v>76070.76999999999</v>
      </c>
      <c r="R61" s="47"/>
      <c r="S61" s="47"/>
      <c r="T61" s="47"/>
    </row>
    <row r="62" spans="1:20" s="37" customFormat="1" x14ac:dyDescent="0.25">
      <c r="A62" s="34" t="s">
        <v>81</v>
      </c>
      <c r="B62" s="50">
        <v>350</v>
      </c>
      <c r="C62" s="47">
        <v>51430.12</v>
      </c>
      <c r="D62" s="47">
        <f>SUM(62390.74+5250)</f>
        <v>67640.739999999991</v>
      </c>
      <c r="E62" s="47">
        <f>SUM(151117.88+22960.32+24366.55+137856.32)</f>
        <v>336301.07</v>
      </c>
      <c r="F62" s="47">
        <v>47636.17</v>
      </c>
      <c r="G62" s="47">
        <v>8431.18</v>
      </c>
      <c r="H62" s="47">
        <v>3920.97</v>
      </c>
      <c r="I62" s="47">
        <v>0</v>
      </c>
      <c r="J62" s="47">
        <v>0</v>
      </c>
      <c r="K62" s="47">
        <f>SUM(472.61+8992.64+958.46+850.63+720.36+3199.99)</f>
        <v>15194.689999999999</v>
      </c>
      <c r="L62" s="47">
        <v>12225.35</v>
      </c>
      <c r="M62" s="47">
        <f t="shared" si="0"/>
        <v>542780.28999999992</v>
      </c>
      <c r="N62" s="47">
        <v>64300.65</v>
      </c>
      <c r="O62" s="47">
        <v>108206.09</v>
      </c>
      <c r="P62" s="47">
        <v>61972.29</v>
      </c>
      <c r="Q62" s="47">
        <f t="shared" si="1"/>
        <v>777259.32</v>
      </c>
      <c r="R62" s="47"/>
      <c r="S62" s="47"/>
      <c r="T62" s="47"/>
    </row>
    <row r="63" spans="1:20" s="37" customFormat="1" x14ac:dyDescent="0.25">
      <c r="A63" s="34" t="s">
        <v>82</v>
      </c>
      <c r="B63" s="50">
        <v>62</v>
      </c>
      <c r="C63" s="47">
        <v>3042.75</v>
      </c>
      <c r="D63" s="47">
        <v>5094.1499999999996</v>
      </c>
      <c r="E63" s="47">
        <v>15795.86</v>
      </c>
      <c r="F63" s="47">
        <v>0</v>
      </c>
      <c r="G63" s="47">
        <v>876.84</v>
      </c>
      <c r="H63" s="47">
        <v>1896.79</v>
      </c>
      <c r="I63" s="47">
        <v>379.32</v>
      </c>
      <c r="J63" s="47">
        <v>0</v>
      </c>
      <c r="K63" s="47">
        <v>34.14</v>
      </c>
      <c r="L63" s="47">
        <v>0</v>
      </c>
      <c r="M63" s="47">
        <f t="shared" si="0"/>
        <v>27119.850000000002</v>
      </c>
      <c r="N63" s="47">
        <v>3451.51</v>
      </c>
      <c r="O63" s="47">
        <v>5280.93</v>
      </c>
      <c r="P63" s="47">
        <v>3555.46</v>
      </c>
      <c r="Q63" s="47">
        <f t="shared" si="1"/>
        <v>39407.75</v>
      </c>
      <c r="R63" s="47"/>
      <c r="S63" s="47"/>
      <c r="T63" s="47"/>
    </row>
    <row r="64" spans="1:20" s="37" customFormat="1" x14ac:dyDescent="0.25">
      <c r="A64" s="34" t="s">
        <v>83</v>
      </c>
      <c r="B64" s="50">
        <v>74</v>
      </c>
      <c r="C64" s="47">
        <v>5337.42</v>
      </c>
      <c r="D64" s="47">
        <v>5138.6899999999996</v>
      </c>
      <c r="E64" s="47">
        <v>14817.03</v>
      </c>
      <c r="F64" s="47">
        <v>1881.21</v>
      </c>
      <c r="G64" s="47">
        <v>1093.7</v>
      </c>
      <c r="H64" s="47">
        <v>1531.24</v>
      </c>
      <c r="I64" s="47">
        <v>831.26</v>
      </c>
      <c r="J64" s="47">
        <v>526.76</v>
      </c>
      <c r="K64" s="47">
        <f>SUM(350.48+42.26)</f>
        <v>392.74</v>
      </c>
      <c r="L64" s="47">
        <v>3062.48</v>
      </c>
      <c r="M64" s="47">
        <f t="shared" si="0"/>
        <v>34612.53</v>
      </c>
      <c r="N64" s="47">
        <v>4520.3</v>
      </c>
      <c r="O64" s="47">
        <v>6848.47</v>
      </c>
      <c r="P64" s="47">
        <f>SUM(1110+3424.31)</f>
        <v>4534.3099999999995</v>
      </c>
      <c r="Q64" s="47">
        <f t="shared" si="1"/>
        <v>50515.61</v>
      </c>
      <c r="R64" s="47"/>
      <c r="S64" s="47"/>
      <c r="T64" s="47"/>
    </row>
    <row r="65" spans="1:20" x14ac:dyDescent="0.25">
      <c r="A65" s="5" t="s">
        <v>84</v>
      </c>
      <c r="B65" s="40">
        <v>25</v>
      </c>
      <c r="C65" s="42">
        <v>1659.12</v>
      </c>
      <c r="D65" s="42">
        <v>2767.47</v>
      </c>
      <c r="E65" s="42">
        <v>6119.74</v>
      </c>
      <c r="F65" s="42">
        <v>815.98</v>
      </c>
      <c r="G65" s="42">
        <v>380.8</v>
      </c>
      <c r="H65" s="42">
        <v>584.76</v>
      </c>
      <c r="I65" s="42">
        <v>0</v>
      </c>
      <c r="J65" s="42">
        <v>0</v>
      </c>
      <c r="K65" s="42">
        <v>690.22</v>
      </c>
      <c r="L65" s="42">
        <v>0</v>
      </c>
      <c r="M65" s="42">
        <f t="shared" si="0"/>
        <v>13018.089999999998</v>
      </c>
      <c r="N65" s="42">
        <v>1719.55</v>
      </c>
      <c r="O65" s="42">
        <v>2653.62</v>
      </c>
      <c r="P65" s="42">
        <v>1551.8</v>
      </c>
      <c r="Q65" s="42">
        <f t="shared" si="1"/>
        <v>18943.059999999998</v>
      </c>
      <c r="R65" s="42"/>
      <c r="S65" s="42"/>
      <c r="T65" s="42"/>
    </row>
    <row r="66" spans="1:20" x14ac:dyDescent="0.25">
      <c r="A66" s="5" t="s">
        <v>85</v>
      </c>
      <c r="B66" s="40">
        <v>155</v>
      </c>
      <c r="C66" s="42">
        <f>SUM(19740+19740/134796.3*7206.4)+(19740/134796.3*11599.09)</f>
        <v>22493.935921089822</v>
      </c>
      <c r="D66" s="42">
        <f>SUM(10031.83+10031.83/134796.3*7206.4)+(10031.83/134796.3*11599.09)</f>
        <v>11431.374933701443</v>
      </c>
      <c r="E66" s="42">
        <f>SUM(79197.67+79197.67/134796.3*7206.4)+(79197.67/134796.3*11599.09)</f>
        <v>90246.571128653377</v>
      </c>
      <c r="F66" s="42">
        <f>SUM(12844.35+12844.35/134796.3*7206.4)+(12844.35/134796.3*11599.09)</f>
        <v>14636.270812971128</v>
      </c>
      <c r="G66" s="42">
        <f>SUM(6372.17+6372.17/134796.3*7206.4)+(6372.17/134796.3*11599.09)</f>
        <v>7261.1541873500973</v>
      </c>
      <c r="H66" s="42">
        <f>SUM(4977.78+4977.78/134796.3*7206.4)+(4977.78/134796.3*11599.09)</f>
        <v>5672.2322365391337</v>
      </c>
      <c r="I66" s="42">
        <f>SUM(647.16+647.16/134796.3*7206.4)+(647.16/134796.3*11599.09)</f>
        <v>737.44557095706625</v>
      </c>
      <c r="J66" s="42">
        <v>0</v>
      </c>
      <c r="K66" s="42">
        <f>SUM(985.3+985.3/134796.3*7206.4)+(985.3/134796.3*11599.09)</f>
        <v>1122.7596283206585</v>
      </c>
      <c r="L66" s="42">
        <v>0</v>
      </c>
      <c r="M66" s="42">
        <f t="shared" si="0"/>
        <v>153601.74441958274</v>
      </c>
      <c r="N66" s="60">
        <f>SUM(16763.36+144127.96)</f>
        <v>160891.32</v>
      </c>
      <c r="O66" s="42">
        <v>27269.27</v>
      </c>
      <c r="P66" s="61">
        <f>SUM(3410+13479.63)</f>
        <v>16889.629999999997</v>
      </c>
      <c r="Q66" s="42">
        <f t="shared" si="1"/>
        <v>358651.96441958274</v>
      </c>
      <c r="R66" s="42"/>
      <c r="S66" s="42"/>
      <c r="T66" s="42"/>
    </row>
    <row r="67" spans="1:20" x14ac:dyDescent="0.25">
      <c r="A67" s="5" t="s">
        <v>86</v>
      </c>
      <c r="B67" s="40">
        <v>33</v>
      </c>
      <c r="C67" s="42">
        <v>3271.46</v>
      </c>
      <c r="D67" s="42">
        <v>4721.53</v>
      </c>
      <c r="E67" s="42">
        <v>13943.99</v>
      </c>
      <c r="F67" s="42">
        <v>4290.46</v>
      </c>
      <c r="G67" s="42">
        <v>1072.6099999999999</v>
      </c>
      <c r="H67" s="42">
        <v>1796.6</v>
      </c>
      <c r="I67" s="42">
        <v>563.11</v>
      </c>
      <c r="J67" s="42"/>
      <c r="K67" s="42">
        <f>SUM(276.4+35.5+352.5)</f>
        <v>664.4</v>
      </c>
      <c r="L67" s="42"/>
      <c r="M67" s="42">
        <f t="shared" si="0"/>
        <v>30324.16</v>
      </c>
      <c r="N67" s="42">
        <v>3834.16</v>
      </c>
      <c r="O67" s="42">
        <v>6071.45</v>
      </c>
      <c r="P67" s="42">
        <f>SUM(3002.68+495)</f>
        <v>3497.68</v>
      </c>
      <c r="Q67" s="42">
        <f t="shared" si="1"/>
        <v>43727.45</v>
      </c>
      <c r="R67" s="42"/>
      <c r="S67" s="42"/>
      <c r="T67" s="42"/>
    </row>
    <row r="68" spans="1:20" x14ac:dyDescent="0.25">
      <c r="A68" s="5" t="s">
        <v>87</v>
      </c>
      <c r="B68" s="40">
        <v>70</v>
      </c>
      <c r="C68" s="42">
        <v>1404.73</v>
      </c>
      <c r="D68" s="42">
        <v>5935.89</v>
      </c>
      <c r="E68" s="42">
        <v>3813.95</v>
      </c>
      <c r="F68" s="42">
        <v>1634.68</v>
      </c>
      <c r="G68" s="42">
        <v>575.69000000000005</v>
      </c>
      <c r="H68" s="42">
        <v>874.55</v>
      </c>
      <c r="I68" s="42">
        <v>312.02</v>
      </c>
      <c r="J68" s="42">
        <v>0</v>
      </c>
      <c r="K68" s="42">
        <v>33.29</v>
      </c>
      <c r="L68" s="42">
        <v>0</v>
      </c>
      <c r="M68" s="42">
        <f>SUM(C68:L68)</f>
        <v>14584.800000000001</v>
      </c>
      <c r="N68" s="42">
        <v>2648.78</v>
      </c>
      <c r="O68" s="42">
        <v>2782.24</v>
      </c>
      <c r="P68" s="42">
        <f>SUM(1387.96+1056.13)</f>
        <v>2444.09</v>
      </c>
      <c r="Q68" s="42">
        <f t="shared" si="1"/>
        <v>22459.91</v>
      </c>
      <c r="R68" s="42"/>
      <c r="S68" s="42"/>
      <c r="T68" s="42"/>
    </row>
    <row r="69" spans="1:20" x14ac:dyDescent="0.25">
      <c r="A69" s="5" t="s">
        <v>88</v>
      </c>
      <c r="B69" s="54">
        <v>66</v>
      </c>
      <c r="C69" s="42">
        <v>3701.36</v>
      </c>
      <c r="D69" s="42">
        <v>6102.15</v>
      </c>
      <c r="E69" s="42">
        <v>19538.48</v>
      </c>
      <c r="F69" s="42">
        <v>3792.46</v>
      </c>
      <c r="G69" s="42">
        <v>1213.57</v>
      </c>
      <c r="H69" s="42">
        <v>2973.27</v>
      </c>
      <c r="I69" s="42">
        <v>576.48</v>
      </c>
      <c r="J69" s="42"/>
      <c r="K69" s="42">
        <v>37.25</v>
      </c>
      <c r="L69" s="42">
        <f>SUM(141.32+1344)</f>
        <v>1485.32</v>
      </c>
      <c r="M69" s="42">
        <f t="shared" ref="M69:M123" si="2">SUM(C69:L69)</f>
        <v>39420.339999999997</v>
      </c>
      <c r="N69" s="42">
        <v>4645.42</v>
      </c>
      <c r="O69" s="42">
        <v>7605.26</v>
      </c>
      <c r="P69" s="42">
        <f>SUM(4002.65+500)</f>
        <v>4502.6499999999996</v>
      </c>
      <c r="Q69" s="42">
        <f t="shared" ref="Q69:Q123" si="3">SUM(M69:P69)</f>
        <v>56173.67</v>
      </c>
      <c r="R69" s="42"/>
      <c r="S69" s="42"/>
      <c r="T69" s="42"/>
    </row>
    <row r="70" spans="1:20" x14ac:dyDescent="0.25">
      <c r="A70" s="5" t="s">
        <v>89</v>
      </c>
      <c r="B70" s="40">
        <v>39</v>
      </c>
      <c r="C70" s="42">
        <f>SUM(2698.42+2698.42/26255.45*2625.54)+(2698.42/26255.45*1646.46)</f>
        <v>3137.477423887231</v>
      </c>
      <c r="D70" s="42">
        <f>SUM(3008.1+3008.1/26255.45*2625.54)+(3008.1/26255.45*1646.46) + 507</f>
        <v>4004.5451704312818</v>
      </c>
      <c r="E70" s="42">
        <f>SUM(14391.97+14391.97/26255.45*2625.54)+(14391.97/26255.45*1646.46)</f>
        <v>16733.674135331901</v>
      </c>
      <c r="F70" s="42">
        <f>SUM(2344.55+2344.55/26255.45*2625.54)+(2344.55/26255.45*1646.46)</f>
        <v>2726.0295632906696</v>
      </c>
      <c r="G70" s="42">
        <f>SUM(1769.46+1769.46/26255.45*2625.54)+(1769.46/26255.45*1646.46)</f>
        <v>2057.3672009811298</v>
      </c>
      <c r="H70" s="42">
        <f>SUM(1703.11+1703.11/26255.45*2625.54)+(1703.11/26255.45*1646.46)</f>
        <v>1980.2214538124465</v>
      </c>
      <c r="I70" s="42">
        <f>SUM(331.77+331.77/26255.45*2625.54)+(331.77/26255.45*1646.46)</f>
        <v>385.75199002492815</v>
      </c>
      <c r="J70" s="42">
        <v>0</v>
      </c>
      <c r="K70" s="42">
        <f>SUM(8.07+8.07/26255.45*2625.54)+(8.07/26255.45*1646.46)</f>
        <v>9.3830622404110393</v>
      </c>
      <c r="L70" s="42">
        <v>0</v>
      </c>
      <c r="M70" s="42">
        <f t="shared" si="2"/>
        <v>31034.45</v>
      </c>
      <c r="N70" s="42">
        <v>4075.93</v>
      </c>
      <c r="O70" s="42">
        <v>6183.49</v>
      </c>
      <c r="P70" s="42">
        <v>3637.72</v>
      </c>
      <c r="Q70" s="42">
        <f t="shared" si="3"/>
        <v>44931.59</v>
      </c>
      <c r="R70" s="42"/>
      <c r="S70" s="42"/>
      <c r="T70" s="42"/>
    </row>
    <row r="71" spans="1:20" x14ac:dyDescent="0.25">
      <c r="A71" s="5" t="s">
        <v>90</v>
      </c>
      <c r="B71" s="50">
        <v>50</v>
      </c>
      <c r="C71" s="42">
        <v>2024.44</v>
      </c>
      <c r="D71" s="42">
        <v>2279.84</v>
      </c>
      <c r="E71" s="42">
        <v>6903.13</v>
      </c>
      <c r="F71" s="42">
        <v>1161.5899999999999</v>
      </c>
      <c r="G71" s="42">
        <v>746.81</v>
      </c>
      <c r="H71" s="42">
        <v>1045.44</v>
      </c>
      <c r="I71" s="42">
        <v>0</v>
      </c>
      <c r="J71" s="42">
        <v>0</v>
      </c>
      <c r="K71" s="42">
        <f>SUM(20.46+1069.09)</f>
        <v>1089.55</v>
      </c>
      <c r="L71" s="42">
        <v>0</v>
      </c>
      <c r="M71" s="42">
        <f t="shared" si="2"/>
        <v>15250.8</v>
      </c>
      <c r="N71" s="42">
        <f>SUM(1448.48+566.07)</f>
        <v>2014.5500000000002</v>
      </c>
      <c r="O71" s="42">
        <f>SUM(106+3028.97)</f>
        <v>3134.97</v>
      </c>
      <c r="P71" s="42">
        <f>SUM(530+1514.51)</f>
        <v>2044.51</v>
      </c>
      <c r="Q71" s="42">
        <f t="shared" si="3"/>
        <v>22444.829999999998</v>
      </c>
      <c r="R71" s="42"/>
      <c r="S71" s="42"/>
      <c r="T71" s="42"/>
    </row>
    <row r="72" spans="1:20" x14ac:dyDescent="0.25">
      <c r="A72" s="5" t="s">
        <v>91</v>
      </c>
      <c r="B72" s="40">
        <v>73</v>
      </c>
      <c r="C72" s="42">
        <v>4365.58</v>
      </c>
      <c r="D72" s="42">
        <v>3979.18</v>
      </c>
      <c r="E72" s="42">
        <v>17820.04</v>
      </c>
      <c r="F72" s="42">
        <v>2791.07</v>
      </c>
      <c r="G72" s="42">
        <v>1431.33</v>
      </c>
      <c r="H72" s="42">
        <v>1395.64</v>
      </c>
      <c r="I72" s="42">
        <v>0</v>
      </c>
      <c r="J72" s="42">
        <v>1717.57</v>
      </c>
      <c r="K72" s="42">
        <f>SUM(5.8+1888.49)</f>
        <v>1894.29</v>
      </c>
      <c r="L72" s="42">
        <v>0</v>
      </c>
      <c r="M72" s="42">
        <f t="shared" si="2"/>
        <v>35394.700000000004</v>
      </c>
      <c r="N72" s="42">
        <f>SUM(2936.68+1010.83)</f>
        <v>3947.5099999999998</v>
      </c>
      <c r="O72" s="42">
        <f>SUM(7005.96+146)</f>
        <v>7151.96</v>
      </c>
      <c r="P72" s="42">
        <f>SUM(730+3503)</f>
        <v>4233</v>
      </c>
      <c r="Q72" s="42">
        <f t="shared" si="3"/>
        <v>50727.170000000006</v>
      </c>
      <c r="R72" s="42"/>
      <c r="S72" s="42"/>
      <c r="T72" s="42"/>
    </row>
    <row r="73" spans="1:20" x14ac:dyDescent="0.25">
      <c r="A73" s="5" t="s">
        <v>92</v>
      </c>
      <c r="B73" s="40">
        <v>23</v>
      </c>
      <c r="C73" s="42">
        <v>1599.18</v>
      </c>
      <c r="D73" s="42">
        <v>1743.85</v>
      </c>
      <c r="E73" s="42">
        <v>5898.63</v>
      </c>
      <c r="F73" s="42">
        <v>0</v>
      </c>
      <c r="G73" s="42">
        <v>393.24</v>
      </c>
      <c r="H73" s="42">
        <v>668.51</v>
      </c>
      <c r="I73" s="42">
        <v>204.49</v>
      </c>
      <c r="J73" s="42">
        <v>0</v>
      </c>
      <c r="K73" s="42">
        <f>SUM(3.58+1204.31)</f>
        <v>1207.8899999999999</v>
      </c>
      <c r="L73" s="42">
        <v>0</v>
      </c>
      <c r="M73" s="42">
        <f t="shared" si="2"/>
        <v>11715.789999999999</v>
      </c>
      <c r="N73" s="42">
        <v>1503.82</v>
      </c>
      <c r="O73" s="42">
        <v>2352.37</v>
      </c>
      <c r="P73" s="42">
        <f>SUM(1153.18+345)</f>
        <v>1498.18</v>
      </c>
      <c r="Q73" s="42">
        <f t="shared" si="3"/>
        <v>17070.16</v>
      </c>
      <c r="R73" s="42"/>
      <c r="S73" s="42"/>
      <c r="T73" s="42"/>
    </row>
    <row r="74" spans="1:20" x14ac:dyDescent="0.25">
      <c r="A74" s="5" t="s">
        <v>93</v>
      </c>
      <c r="B74" s="40">
        <v>49</v>
      </c>
      <c r="C74" s="42">
        <v>3215.05</v>
      </c>
      <c r="D74" s="42">
        <v>3817.88</v>
      </c>
      <c r="E74" s="42">
        <f>SUM(8426.03+5805.46)</f>
        <v>14231.490000000002</v>
      </c>
      <c r="F74" s="42">
        <v>2345.4</v>
      </c>
      <c r="G74" s="42">
        <v>527.05999999999995</v>
      </c>
      <c r="H74" s="42">
        <v>1317.64</v>
      </c>
      <c r="I74" s="42">
        <v>395.28</v>
      </c>
      <c r="J74" s="42">
        <v>0</v>
      </c>
      <c r="K74" s="42">
        <v>6.73</v>
      </c>
      <c r="L74" s="42">
        <v>187.32</v>
      </c>
      <c r="M74" s="42">
        <f t="shared" si="2"/>
        <v>26043.850000000002</v>
      </c>
      <c r="N74" s="42">
        <v>3224.81</v>
      </c>
      <c r="O74" s="42">
        <v>5119.82</v>
      </c>
      <c r="P74" s="42">
        <f>SUM(2511.92+735)</f>
        <v>3246.92</v>
      </c>
      <c r="Q74" s="42">
        <f t="shared" si="3"/>
        <v>37635.4</v>
      </c>
      <c r="R74" s="42"/>
      <c r="S74" s="42"/>
      <c r="T74" s="42"/>
    </row>
    <row r="75" spans="1:20" x14ac:dyDescent="0.25">
      <c r="A75" s="5" t="s">
        <v>94</v>
      </c>
      <c r="B75" s="40">
        <v>9</v>
      </c>
      <c r="C75" s="42">
        <v>433.59</v>
      </c>
      <c r="D75" s="42">
        <v>459.39</v>
      </c>
      <c r="E75" s="42">
        <v>1574.45</v>
      </c>
      <c r="F75" s="42">
        <v>174.15</v>
      </c>
      <c r="G75" s="42">
        <v>106.62</v>
      </c>
      <c r="H75" s="42">
        <v>135.05000000000001</v>
      </c>
      <c r="I75" s="42">
        <v>0</v>
      </c>
      <c r="J75" s="42">
        <v>266.56</v>
      </c>
      <c r="K75" s="42">
        <v>46.64</v>
      </c>
      <c r="L75" s="42">
        <v>0</v>
      </c>
      <c r="M75" s="42">
        <f t="shared" si="2"/>
        <v>3196.4500000000003</v>
      </c>
      <c r="N75" s="42">
        <f>SUM(295.62+119.86)</f>
        <v>415.48</v>
      </c>
      <c r="O75" s="42">
        <v>633.92999999999995</v>
      </c>
      <c r="P75" s="42">
        <v>402.46</v>
      </c>
      <c r="Q75" s="42">
        <f t="shared" si="3"/>
        <v>4648.3200000000006</v>
      </c>
      <c r="R75" s="42"/>
      <c r="S75" s="42"/>
      <c r="T75" s="42"/>
    </row>
    <row r="76" spans="1:20" x14ac:dyDescent="0.25">
      <c r="A76" s="5" t="s">
        <v>95</v>
      </c>
      <c r="B76" s="40">
        <v>135</v>
      </c>
      <c r="C76" s="42">
        <v>20550</v>
      </c>
      <c r="D76" s="42">
        <v>20287.39</v>
      </c>
      <c r="E76" s="42">
        <v>62198.9</v>
      </c>
      <c r="F76" s="42">
        <v>10106.57</v>
      </c>
      <c r="G76" s="42">
        <f>SUM(4042.65+1852.86)</f>
        <v>5895.51</v>
      </c>
      <c r="H76" s="42">
        <v>3537.28</v>
      </c>
      <c r="I76" s="42">
        <v>0</v>
      </c>
      <c r="J76" s="42">
        <v>0</v>
      </c>
      <c r="K76" s="42">
        <f>SUM(45.33+389.02+778.24+403.06+624.5+1821.98)</f>
        <v>4062.1299999999997</v>
      </c>
      <c r="L76" s="42">
        <v>1358.9</v>
      </c>
      <c r="M76" s="42">
        <f t="shared" si="2"/>
        <v>127996.68000000001</v>
      </c>
      <c r="N76" s="42">
        <v>15593.79</v>
      </c>
      <c r="O76" s="42">
        <v>25113.35</v>
      </c>
      <c r="P76" s="42">
        <v>14446.7</v>
      </c>
      <c r="Q76" s="42">
        <f t="shared" si="3"/>
        <v>183150.52000000002</v>
      </c>
      <c r="R76" s="42"/>
      <c r="S76" s="42"/>
      <c r="T76" s="42"/>
    </row>
    <row r="77" spans="1:20" s="37" customFormat="1" x14ac:dyDescent="0.25">
      <c r="A77" s="34" t="s">
        <v>96</v>
      </c>
      <c r="B77" s="50">
        <v>41</v>
      </c>
      <c r="C77" s="47">
        <v>2870.48</v>
      </c>
      <c r="D77" s="47">
        <v>2563.1999999999998</v>
      </c>
      <c r="E77" s="47">
        <v>9858.4699999999993</v>
      </c>
      <c r="F77" s="47">
        <v>1811.7</v>
      </c>
      <c r="G77" s="47">
        <v>941.14</v>
      </c>
      <c r="H77" s="47">
        <v>0</v>
      </c>
      <c r="I77" s="47">
        <v>399.98</v>
      </c>
      <c r="J77" s="47">
        <v>0</v>
      </c>
      <c r="K77" s="47">
        <v>2352.86</v>
      </c>
      <c r="L77" s="47">
        <v>3.78</v>
      </c>
      <c r="M77" s="47">
        <f t="shared" si="2"/>
        <v>20801.609999999997</v>
      </c>
      <c r="N77" s="47">
        <v>2573.33</v>
      </c>
      <c r="O77" s="47">
        <v>4178.6899999999996</v>
      </c>
      <c r="P77" s="47">
        <v>2663.36</v>
      </c>
      <c r="Q77" s="47">
        <f t="shared" si="3"/>
        <v>30216.989999999994</v>
      </c>
      <c r="R77" s="47"/>
      <c r="S77" s="47"/>
      <c r="T77" s="47"/>
    </row>
    <row r="78" spans="1:20" x14ac:dyDescent="0.25">
      <c r="A78" s="5" t="s">
        <v>97</v>
      </c>
      <c r="B78" s="40">
        <v>4</v>
      </c>
      <c r="C78" s="42">
        <v>74.55</v>
      </c>
      <c r="D78" s="42">
        <v>115.59</v>
      </c>
      <c r="E78" s="42">
        <v>330.52</v>
      </c>
      <c r="F78" s="42">
        <v>23.21</v>
      </c>
      <c r="G78" s="42">
        <v>22.61</v>
      </c>
      <c r="H78" s="42">
        <v>20.170000000000002</v>
      </c>
      <c r="I78" s="42">
        <v>7.95</v>
      </c>
      <c r="J78" s="42">
        <v>0</v>
      </c>
      <c r="K78" s="42">
        <v>0</v>
      </c>
      <c r="L78" s="42">
        <v>0</v>
      </c>
      <c r="M78" s="42">
        <f t="shared" si="2"/>
        <v>594.6</v>
      </c>
      <c r="N78" s="42">
        <v>74.180000000000007</v>
      </c>
      <c r="O78" s="42">
        <v>121.52</v>
      </c>
      <c r="P78" s="42">
        <f>SUM(56.75+55)</f>
        <v>111.75</v>
      </c>
      <c r="Q78" s="42">
        <f t="shared" si="3"/>
        <v>902.05</v>
      </c>
      <c r="R78" s="42"/>
      <c r="S78" s="42"/>
      <c r="T78" s="42"/>
    </row>
    <row r="79" spans="1:20" x14ac:dyDescent="0.25">
      <c r="A79" s="34" t="s">
        <v>98</v>
      </c>
      <c r="B79" s="50">
        <v>199</v>
      </c>
      <c r="C79" s="47">
        <v>21669.040000000001</v>
      </c>
      <c r="D79" s="47">
        <v>16732.080000000002</v>
      </c>
      <c r="E79" s="47">
        <v>113343.92</v>
      </c>
      <c r="F79" s="47">
        <f>SUM(8560.74+8560.74/155285.05*15528.47)+(8560.74/155285.05*9609.18)</f>
        <v>9946.5584407384995</v>
      </c>
      <c r="G79" s="47">
        <f>SUM(7643.43+7643.43/155285.05*15528.47)+(7643.43/155285.05*9609.18)</f>
        <v>8880.7536711421999</v>
      </c>
      <c r="H79" s="47">
        <f>SUM(2293.08+2293.08/155285.05*15528.47)+(2293.08/155285.05*9609.18)</f>
        <v>2664.2853572575082</v>
      </c>
      <c r="I79" s="47">
        <v>0</v>
      </c>
      <c r="J79" s="47">
        <f>SUM(7490.58+7490.58/155285.05*15528.47)+(7490.58/155285.05*9609.18)</f>
        <v>8703.1602087000647</v>
      </c>
      <c r="K79" s="47">
        <v>0</v>
      </c>
      <c r="L79" s="47">
        <f>SUM(407.01+407.01/155285.05*15528.47)+(407.01/155285.05*9609.18)</f>
        <v>472.89705690921306</v>
      </c>
      <c r="M79" s="47">
        <f t="shared" si="2"/>
        <v>182412.69473474752</v>
      </c>
      <c r="N79" s="47">
        <v>21369.439999999999</v>
      </c>
      <c r="O79" s="47">
        <v>36482.589999999997</v>
      </c>
      <c r="P79" s="47">
        <f>SUM(18042.28+2985)</f>
        <v>21027.279999999999</v>
      </c>
      <c r="Q79" s="47">
        <f t="shared" si="3"/>
        <v>261292.00473474752</v>
      </c>
      <c r="R79" s="42"/>
      <c r="S79" s="42"/>
      <c r="T79" s="42"/>
    </row>
    <row r="80" spans="1:20" x14ac:dyDescent="0.25">
      <c r="A80" s="5" t="s">
        <v>99</v>
      </c>
      <c r="B80" s="50">
        <v>30</v>
      </c>
      <c r="C80" s="42">
        <v>2005.76</v>
      </c>
      <c r="D80" s="42">
        <f>SUM(7168.14+840)</f>
        <v>8008.14</v>
      </c>
      <c r="E80" s="42">
        <v>7842.22</v>
      </c>
      <c r="F80" s="42">
        <v>1430.36</v>
      </c>
      <c r="G80" s="42">
        <v>1315.25</v>
      </c>
      <c r="H80" s="42">
        <v>1676.95</v>
      </c>
      <c r="I80" s="42">
        <v>230.16</v>
      </c>
      <c r="J80" s="42">
        <v>0</v>
      </c>
      <c r="K80" s="42">
        <v>21.88</v>
      </c>
      <c r="L80" s="42">
        <v>0</v>
      </c>
      <c r="M80" s="42">
        <f t="shared" si="2"/>
        <v>22530.720000000001</v>
      </c>
      <c r="N80" s="42">
        <f>SUM(2051.93+853.52)</f>
        <v>2905.45</v>
      </c>
      <c r="O80" s="42">
        <f>SUM(4338.16+60)</f>
        <v>4398.16</v>
      </c>
      <c r="P80" s="42">
        <f>SUM(2169.06+300)</f>
        <v>2469.06</v>
      </c>
      <c r="Q80" s="42">
        <f t="shared" si="3"/>
        <v>32303.390000000003</v>
      </c>
      <c r="R80" s="42"/>
      <c r="S80" s="42"/>
      <c r="T80" s="42"/>
    </row>
    <row r="81" spans="1:20" x14ac:dyDescent="0.25">
      <c r="A81" s="5" t="s">
        <v>100</v>
      </c>
      <c r="B81" s="40">
        <v>25</v>
      </c>
      <c r="C81" s="42">
        <v>2951.38</v>
      </c>
      <c r="D81" s="42">
        <v>2430.4899999999998</v>
      </c>
      <c r="E81" s="42">
        <v>13305.42</v>
      </c>
      <c r="F81" s="42">
        <v>1306.3399999999999</v>
      </c>
      <c r="G81" s="42">
        <v>725.75</v>
      </c>
      <c r="H81" s="42">
        <v>749.96</v>
      </c>
      <c r="I81" s="42">
        <v>0</v>
      </c>
      <c r="J81" s="42">
        <v>0</v>
      </c>
      <c r="K81" s="42">
        <v>0</v>
      </c>
      <c r="L81" s="42">
        <v>266.12</v>
      </c>
      <c r="M81" s="42">
        <f t="shared" si="2"/>
        <v>21735.46</v>
      </c>
      <c r="N81" s="42">
        <v>2821.6</v>
      </c>
      <c r="O81" s="42">
        <v>4277.1000000000004</v>
      </c>
      <c r="P81" s="42">
        <v>2413.54</v>
      </c>
      <c r="Q81" s="42">
        <f t="shared" si="3"/>
        <v>31247.699999999997</v>
      </c>
      <c r="R81" s="42"/>
      <c r="S81" s="42"/>
      <c r="T81" s="42"/>
    </row>
    <row r="82" spans="1:20" x14ac:dyDescent="0.25">
      <c r="A82" s="5" t="s">
        <v>101</v>
      </c>
      <c r="B82" s="40">
        <v>70</v>
      </c>
      <c r="C82" s="42">
        <v>8353.6200000000008</v>
      </c>
      <c r="D82" s="42">
        <v>6710.25</v>
      </c>
      <c r="E82" s="42">
        <v>32455.82</v>
      </c>
      <c r="F82" s="42">
        <v>6504.95</v>
      </c>
      <c r="G82" s="42">
        <v>5135.51</v>
      </c>
      <c r="H82" s="42">
        <v>1232.48</v>
      </c>
      <c r="I82" s="42">
        <v>342.47</v>
      </c>
      <c r="J82" s="42">
        <v>232.61</v>
      </c>
      <c r="K82" s="42">
        <v>4073.08</v>
      </c>
      <c r="L82" s="42">
        <f>SUM(2601.94+4978.3)</f>
        <v>7580.24</v>
      </c>
      <c r="M82" s="42">
        <f t="shared" si="2"/>
        <v>72621.030000000013</v>
      </c>
      <c r="N82" s="42">
        <f>SUM(2583.2+6946.14)</f>
        <v>9529.34</v>
      </c>
      <c r="O82" s="42">
        <f>SUM(14524.17+71)</f>
        <v>14595.17</v>
      </c>
      <c r="P82" s="42">
        <f>SUM(710+7262.16)</f>
        <v>7972.16</v>
      </c>
      <c r="Q82" s="42">
        <f t="shared" si="3"/>
        <v>104717.70000000001</v>
      </c>
      <c r="R82" s="42"/>
      <c r="S82" s="42"/>
      <c r="T82" s="42"/>
    </row>
    <row r="83" spans="1:20" s="37" customFormat="1" x14ac:dyDescent="0.25">
      <c r="A83" s="34" t="s">
        <v>102</v>
      </c>
      <c r="B83" s="50">
        <v>16</v>
      </c>
      <c r="C83" s="47">
        <v>1408.89</v>
      </c>
      <c r="D83" s="47">
        <v>1408.05</v>
      </c>
      <c r="E83" s="47">
        <v>8788.2000000000007</v>
      </c>
      <c r="F83" s="47">
        <v>1258.76</v>
      </c>
      <c r="G83" s="47">
        <v>461.93</v>
      </c>
      <c r="H83" s="47">
        <v>554.30999999999995</v>
      </c>
      <c r="I83" s="47">
        <v>0</v>
      </c>
      <c r="J83" s="47">
        <v>0</v>
      </c>
      <c r="K83" s="47">
        <v>569.92999999999995</v>
      </c>
      <c r="L83" s="47">
        <v>1424.83</v>
      </c>
      <c r="M83" s="47">
        <f t="shared" si="2"/>
        <v>15874.900000000001</v>
      </c>
      <c r="N83" s="47">
        <v>1968.03</v>
      </c>
      <c r="O83" s="47">
        <v>3190.97</v>
      </c>
      <c r="P83" s="47">
        <f>SUM(1579.5+240)</f>
        <v>1819.5</v>
      </c>
      <c r="Q83" s="47">
        <f t="shared" si="3"/>
        <v>22853.4</v>
      </c>
      <c r="R83" s="47"/>
      <c r="S83" s="47"/>
      <c r="T83" s="47"/>
    </row>
    <row r="84" spans="1:20" x14ac:dyDescent="0.25">
      <c r="A84" s="5" t="s">
        <v>103</v>
      </c>
      <c r="B84" s="40">
        <v>33</v>
      </c>
      <c r="C84" s="42">
        <v>2758.9</v>
      </c>
      <c r="D84" s="42">
        <v>6348.85</v>
      </c>
      <c r="E84" s="42">
        <v>11013</v>
      </c>
      <c r="F84" s="42">
        <v>1515.15</v>
      </c>
      <c r="G84" s="42">
        <v>1809.1</v>
      </c>
      <c r="H84" s="42">
        <v>904.57</v>
      </c>
      <c r="I84" s="42">
        <v>0</v>
      </c>
      <c r="J84" s="42">
        <v>0</v>
      </c>
      <c r="K84" s="42">
        <v>0</v>
      </c>
      <c r="L84" s="42">
        <f>SUM(1564.23+105.45)</f>
        <v>1669.68</v>
      </c>
      <c r="M84" s="42">
        <f t="shared" si="2"/>
        <v>26019.25</v>
      </c>
      <c r="N84" s="42">
        <v>3217.35</v>
      </c>
      <c r="O84" s="42">
        <v>4806.67</v>
      </c>
      <c r="P84" s="42">
        <v>2955.03</v>
      </c>
      <c r="Q84" s="42">
        <f t="shared" si="3"/>
        <v>36998.299999999996</v>
      </c>
      <c r="R84" s="42"/>
      <c r="S84" s="42"/>
      <c r="T84" s="42"/>
    </row>
    <row r="85" spans="1:20" x14ac:dyDescent="0.25">
      <c r="A85" s="5" t="s">
        <v>104</v>
      </c>
      <c r="B85" s="40">
        <v>61</v>
      </c>
      <c r="C85" s="42">
        <v>5458.59</v>
      </c>
      <c r="D85" s="42">
        <v>10213.44</v>
      </c>
      <c r="E85" s="42">
        <v>22773.99</v>
      </c>
      <c r="F85" s="42">
        <v>4384.8100000000004</v>
      </c>
      <c r="G85" s="42">
        <v>1208.07</v>
      </c>
      <c r="H85" s="42">
        <v>1655.46</v>
      </c>
      <c r="I85" s="42">
        <v>357.95</v>
      </c>
      <c r="J85" s="42">
        <v>0</v>
      </c>
      <c r="K85" s="42">
        <f>SUM(3448.87+2.3)</f>
        <v>3451.17</v>
      </c>
      <c r="L85" s="42">
        <v>897.7</v>
      </c>
      <c r="M85" s="42">
        <f t="shared" si="2"/>
        <v>50401.179999999993</v>
      </c>
      <c r="N85" s="42">
        <v>6518.39</v>
      </c>
      <c r="O85" s="42">
        <v>10092.44</v>
      </c>
      <c r="P85" s="42">
        <f>SUM(4985.24+915)</f>
        <v>5900.24</v>
      </c>
      <c r="Q85" s="42">
        <f t="shared" si="3"/>
        <v>72912.25</v>
      </c>
      <c r="R85" s="42"/>
      <c r="S85" s="42"/>
      <c r="T85" s="42"/>
    </row>
    <row r="86" spans="1:20" x14ac:dyDescent="0.25">
      <c r="A86" s="5" t="s">
        <v>105</v>
      </c>
      <c r="B86" s="40">
        <v>14</v>
      </c>
      <c r="C86" s="42">
        <v>269.77999999999997</v>
      </c>
      <c r="D86" s="42">
        <v>336.1</v>
      </c>
      <c r="E86" s="42">
        <v>1076.94</v>
      </c>
      <c r="F86" s="42">
        <v>196.8</v>
      </c>
      <c r="G86" s="42">
        <v>176.91</v>
      </c>
      <c r="H86" s="42">
        <v>145.94999999999999</v>
      </c>
      <c r="I86" s="42">
        <v>132.68</v>
      </c>
      <c r="J86" s="42">
        <v>196.8</v>
      </c>
      <c r="K86" s="42">
        <f>SUM(192.39+5.02)</f>
        <v>197.41</v>
      </c>
      <c r="L86" s="42"/>
      <c r="M86" s="42">
        <f t="shared" si="2"/>
        <v>2729.37</v>
      </c>
      <c r="N86" s="42">
        <v>347.74</v>
      </c>
      <c r="O86" s="42">
        <v>543.07000000000005</v>
      </c>
      <c r="P86" s="42">
        <f>SUM(264.53+210)</f>
        <v>474.53</v>
      </c>
      <c r="Q86" s="42">
        <f t="shared" si="3"/>
        <v>4094.71</v>
      </c>
      <c r="R86" s="42"/>
      <c r="S86" s="42"/>
      <c r="T86" s="42"/>
    </row>
    <row r="87" spans="1:20" x14ac:dyDescent="0.25">
      <c r="A87" s="5" t="s">
        <v>106</v>
      </c>
      <c r="B87" s="40">
        <v>124</v>
      </c>
      <c r="C87" s="42">
        <v>11880.39</v>
      </c>
      <c r="D87" s="42">
        <v>11205.48</v>
      </c>
      <c r="E87" s="42">
        <v>52824.92</v>
      </c>
      <c r="F87" s="42">
        <v>8168.86</v>
      </c>
      <c r="G87" s="42">
        <v>3889.95</v>
      </c>
      <c r="H87" s="42">
        <v>4086.88</v>
      </c>
      <c r="I87" s="42">
        <v>680.4</v>
      </c>
      <c r="J87" s="42">
        <v>0</v>
      </c>
      <c r="K87" s="42">
        <v>3450.02</v>
      </c>
      <c r="L87" s="42">
        <v>0</v>
      </c>
      <c r="M87" s="42">
        <f t="shared" si="2"/>
        <v>96186.9</v>
      </c>
      <c r="N87" s="42">
        <v>11968.21</v>
      </c>
      <c r="O87" s="42">
        <v>19571.84</v>
      </c>
      <c r="P87" s="42">
        <v>11566.67</v>
      </c>
      <c r="Q87" s="42">
        <f t="shared" si="3"/>
        <v>139293.62</v>
      </c>
      <c r="R87" s="42"/>
      <c r="S87" s="42"/>
      <c r="T87" s="42"/>
    </row>
    <row r="88" spans="1:20" x14ac:dyDescent="0.25">
      <c r="A88" s="5" t="s">
        <v>107</v>
      </c>
      <c r="B88" s="40">
        <v>34</v>
      </c>
      <c r="C88" s="42">
        <v>2089.9</v>
      </c>
      <c r="D88" s="42">
        <v>2306.36</v>
      </c>
      <c r="E88" s="42">
        <v>8804.9500000000007</v>
      </c>
      <c r="F88" s="42">
        <v>1610.25</v>
      </c>
      <c r="G88" s="42">
        <v>0</v>
      </c>
      <c r="H88" s="42">
        <v>1610.25</v>
      </c>
      <c r="I88" s="42">
        <v>256.93</v>
      </c>
      <c r="J88" s="42">
        <v>1010.69</v>
      </c>
      <c r="K88" s="42">
        <v>12.6</v>
      </c>
      <c r="L88" s="42">
        <v>0</v>
      </c>
      <c r="M88" s="42">
        <f t="shared" si="2"/>
        <v>17701.929999999997</v>
      </c>
      <c r="N88" s="42">
        <v>2253.1999999999998</v>
      </c>
      <c r="O88" s="42">
        <v>3445.19</v>
      </c>
      <c r="P88" s="42">
        <f>SUM(1688.57+510)</f>
        <v>2198.5699999999997</v>
      </c>
      <c r="Q88" s="42">
        <f t="shared" si="3"/>
        <v>25598.889999999996</v>
      </c>
      <c r="R88" s="42"/>
      <c r="S88" s="42"/>
      <c r="T88" s="42"/>
    </row>
    <row r="89" spans="1:20" s="37" customFormat="1" x14ac:dyDescent="0.25">
      <c r="A89" s="34" t="s">
        <v>108</v>
      </c>
      <c r="B89" s="50">
        <v>24</v>
      </c>
      <c r="C89" s="47">
        <v>865.21</v>
      </c>
      <c r="D89" s="47">
        <v>833</v>
      </c>
      <c r="E89" s="47">
        <v>3623.95</v>
      </c>
      <c r="F89" s="47">
        <v>411.33</v>
      </c>
      <c r="G89" s="47">
        <v>283.67</v>
      </c>
      <c r="H89" s="47">
        <v>382.96</v>
      </c>
      <c r="I89" s="47">
        <v>127.65</v>
      </c>
      <c r="J89" s="47">
        <v>497.86</v>
      </c>
      <c r="K89" s="47">
        <v>13.65</v>
      </c>
      <c r="L89" s="47">
        <v>0</v>
      </c>
      <c r="M89" s="47">
        <f t="shared" si="2"/>
        <v>7039.2799999999988</v>
      </c>
      <c r="N89" s="47">
        <v>893.08</v>
      </c>
      <c r="O89" s="47">
        <v>1412.67</v>
      </c>
      <c r="P89" s="47">
        <f>SUM(682.38+360)</f>
        <v>1042.3800000000001</v>
      </c>
      <c r="Q89" s="47">
        <f t="shared" si="3"/>
        <v>10387.41</v>
      </c>
      <c r="R89" s="47"/>
      <c r="S89" s="47"/>
      <c r="T89" s="47"/>
    </row>
    <row r="90" spans="1:20" x14ac:dyDescent="0.25">
      <c r="A90" s="5" t="s">
        <v>109</v>
      </c>
      <c r="B90" s="40">
        <v>52</v>
      </c>
      <c r="C90" s="42">
        <v>4971.3599999999997</v>
      </c>
      <c r="D90" s="42">
        <v>3275.39</v>
      </c>
      <c r="E90" s="42">
        <v>19926.240000000002</v>
      </c>
      <c r="F90" s="42">
        <v>2770.94</v>
      </c>
      <c r="G90" s="42">
        <v>2037.45</v>
      </c>
      <c r="H90" s="42">
        <v>2118.9299999999998</v>
      </c>
      <c r="I90" s="42">
        <v>0</v>
      </c>
      <c r="J90" s="42">
        <v>2933.91</v>
      </c>
      <c r="K90" s="42">
        <f>SUM(2975.88+0.31)</f>
        <v>2976.19</v>
      </c>
      <c r="L90" s="42">
        <v>0</v>
      </c>
      <c r="M90" s="42">
        <f t="shared" si="2"/>
        <v>41010.410000000003</v>
      </c>
      <c r="N90" s="42">
        <v>5161.2</v>
      </c>
      <c r="O90" s="42">
        <v>8254.07</v>
      </c>
      <c r="P90" s="42">
        <f>SUM(780+4074.99)</f>
        <v>4854.99</v>
      </c>
      <c r="Q90" s="42">
        <f t="shared" si="3"/>
        <v>59280.67</v>
      </c>
      <c r="R90" s="42"/>
      <c r="S90" s="42"/>
      <c r="T90" s="42"/>
    </row>
    <row r="91" spans="1:20" x14ac:dyDescent="0.25">
      <c r="A91" s="5" t="s">
        <v>110</v>
      </c>
      <c r="B91" s="50">
        <v>36</v>
      </c>
      <c r="C91" s="42">
        <v>1460.57</v>
      </c>
      <c r="D91" s="42">
        <v>718.31</v>
      </c>
      <c r="E91" s="42">
        <v>7087.34</v>
      </c>
      <c r="F91" s="42">
        <v>1185.23</v>
      </c>
      <c r="G91" s="42">
        <v>1137.3499999999999</v>
      </c>
      <c r="H91" s="42">
        <v>1400.73</v>
      </c>
      <c r="I91" s="42">
        <v>227.48</v>
      </c>
      <c r="J91" s="42">
        <v>1041.57</v>
      </c>
      <c r="K91" s="42">
        <v>27.39</v>
      </c>
      <c r="L91" s="42">
        <v>0</v>
      </c>
      <c r="M91" s="42">
        <f t="shared" si="2"/>
        <v>14285.97</v>
      </c>
      <c r="N91" s="42">
        <f>SUM(1351.49+557.87)</f>
        <v>1909.3600000000001</v>
      </c>
      <c r="O91" s="42">
        <f>SUM(36+2857.23)</f>
        <v>2893.23</v>
      </c>
      <c r="P91" s="42">
        <f>SUM(350+1428.58)</f>
        <v>1778.58</v>
      </c>
      <c r="Q91" s="42">
        <f t="shared" si="3"/>
        <v>20867.14</v>
      </c>
      <c r="R91" s="42"/>
      <c r="S91" s="42"/>
      <c r="T91" s="42"/>
    </row>
    <row r="92" spans="1:20" x14ac:dyDescent="0.25">
      <c r="A92" s="5" t="s">
        <v>111</v>
      </c>
      <c r="B92" s="40">
        <v>61</v>
      </c>
      <c r="C92" s="42">
        <v>4148.67</v>
      </c>
      <c r="D92" s="42">
        <v>3761.7</v>
      </c>
      <c r="E92" s="42">
        <v>17537.97</v>
      </c>
      <c r="F92" s="42">
        <v>3040.44</v>
      </c>
      <c r="G92" s="42">
        <v>748.11</v>
      </c>
      <c r="H92" s="42">
        <v>679.65</v>
      </c>
      <c r="I92" s="42">
        <v>176.84</v>
      </c>
      <c r="J92" s="42">
        <v>0</v>
      </c>
      <c r="K92" s="42">
        <v>0</v>
      </c>
      <c r="L92" s="42">
        <f>SUM(252.87+5.53+306.08)</f>
        <v>564.48</v>
      </c>
      <c r="M92" s="42">
        <f t="shared" si="2"/>
        <v>30657.86</v>
      </c>
      <c r="N92" s="42">
        <v>3699.73</v>
      </c>
      <c r="O92" s="42">
        <v>5832.42</v>
      </c>
      <c r="P92" s="42">
        <f>SUM(3098.49+827.41)</f>
        <v>3925.8999999999996</v>
      </c>
      <c r="Q92" s="42">
        <f t="shared" si="3"/>
        <v>44115.91</v>
      </c>
      <c r="R92" s="42"/>
      <c r="S92" s="42"/>
      <c r="T92" s="42"/>
    </row>
    <row r="93" spans="1:20" x14ac:dyDescent="0.25">
      <c r="A93" s="5" t="s">
        <v>112</v>
      </c>
      <c r="B93" s="40">
        <v>95</v>
      </c>
      <c r="C93" s="42">
        <v>10045.32</v>
      </c>
      <c r="D93" s="42">
        <v>11774.54</v>
      </c>
      <c r="E93" s="42">
        <v>40482.51</v>
      </c>
      <c r="F93" s="42">
        <v>6669.51</v>
      </c>
      <c r="G93" s="42">
        <v>0</v>
      </c>
      <c r="H93" s="42">
        <v>823.41</v>
      </c>
      <c r="I93" s="42">
        <v>428.1</v>
      </c>
      <c r="J93" s="42">
        <v>0</v>
      </c>
      <c r="K93" s="42">
        <f>SUM(710.15+11.41+2626.47)</f>
        <v>3348.0299999999997</v>
      </c>
      <c r="L93" s="42">
        <v>1330</v>
      </c>
      <c r="M93" s="42">
        <f t="shared" si="2"/>
        <v>74901.420000000013</v>
      </c>
      <c r="N93" s="42">
        <f>SUM(6963.63+2093.29)</f>
        <v>9056.92</v>
      </c>
      <c r="O93" s="42">
        <f>SUM(14714.28+190)</f>
        <v>14904.28</v>
      </c>
      <c r="P93" s="42">
        <f>SUM(7357.16+475+2632+950)</f>
        <v>11414.16</v>
      </c>
      <c r="Q93" s="42">
        <f t="shared" si="3"/>
        <v>110276.78000000001</v>
      </c>
      <c r="R93" s="42"/>
      <c r="S93" s="42"/>
      <c r="T93" s="42"/>
    </row>
    <row r="94" spans="1:20" x14ac:dyDescent="0.25">
      <c r="A94" s="5" t="s">
        <v>113</v>
      </c>
      <c r="B94" s="40">
        <v>26</v>
      </c>
      <c r="C94" s="42">
        <v>1018.11</v>
      </c>
      <c r="D94" s="42">
        <v>1312.91</v>
      </c>
      <c r="E94" s="42">
        <v>3199.95</v>
      </c>
      <c r="F94" s="42">
        <v>572.74</v>
      </c>
      <c r="G94" s="42">
        <v>396.88</v>
      </c>
      <c r="H94" s="42">
        <v>163.22</v>
      </c>
      <c r="I94" s="42">
        <v>81.64</v>
      </c>
      <c r="J94" s="42">
        <v>0</v>
      </c>
      <c r="K94" s="42">
        <v>289.16000000000003</v>
      </c>
      <c r="L94" s="42">
        <v>0</v>
      </c>
      <c r="M94" s="42">
        <f t="shared" si="2"/>
        <v>7034.61</v>
      </c>
      <c r="N94" s="42">
        <v>833.88</v>
      </c>
      <c r="O94" s="42">
        <v>1370.93</v>
      </c>
      <c r="P94" s="42">
        <f>SUM(685.44+390)</f>
        <v>1075.44</v>
      </c>
      <c r="Q94" s="42">
        <f t="shared" si="3"/>
        <v>10314.86</v>
      </c>
      <c r="R94" s="42"/>
      <c r="S94" s="42"/>
      <c r="T94" s="42"/>
    </row>
    <row r="95" spans="1:20" x14ac:dyDescent="0.25">
      <c r="A95" s="5" t="s">
        <v>114</v>
      </c>
      <c r="B95" s="40">
        <v>67</v>
      </c>
      <c r="C95" s="42">
        <v>2969.91</v>
      </c>
      <c r="D95" s="42">
        <v>1990.34</v>
      </c>
      <c r="E95" s="42">
        <v>11782.21</v>
      </c>
      <c r="F95" s="42">
        <v>1704.05</v>
      </c>
      <c r="G95" s="42">
        <v>852.14</v>
      </c>
      <c r="H95" s="42">
        <v>581.83000000000004</v>
      </c>
      <c r="I95" s="42">
        <v>170.5</v>
      </c>
      <c r="J95" s="42">
        <v>0</v>
      </c>
      <c r="K95" s="42">
        <v>24.22</v>
      </c>
      <c r="L95" s="42">
        <v>71.89</v>
      </c>
      <c r="M95" s="42">
        <f t="shared" si="2"/>
        <v>20147.09</v>
      </c>
      <c r="N95" s="42">
        <v>2449.21</v>
      </c>
      <c r="O95" s="42">
        <v>4096.45</v>
      </c>
      <c r="P95" s="42">
        <f>SUM(1981.21+1005)</f>
        <v>2986.21</v>
      </c>
      <c r="Q95" s="42">
        <f t="shared" si="3"/>
        <v>29678.959999999999</v>
      </c>
      <c r="R95" s="42"/>
      <c r="S95" s="42"/>
      <c r="T95" s="42"/>
    </row>
    <row r="96" spans="1:20" x14ac:dyDescent="0.25">
      <c r="A96" s="5" t="s">
        <v>115</v>
      </c>
      <c r="B96" s="40">
        <v>79</v>
      </c>
      <c r="C96" s="42">
        <v>18701.939999999999</v>
      </c>
      <c r="D96" s="42">
        <v>14349.54</v>
      </c>
      <c r="E96" s="42">
        <v>82932.44</v>
      </c>
      <c r="F96" s="42">
        <v>5978.52</v>
      </c>
      <c r="G96" s="42">
        <v>3832.4</v>
      </c>
      <c r="H96" s="42">
        <v>0</v>
      </c>
      <c r="I96" s="42">
        <v>0</v>
      </c>
      <c r="J96" s="42">
        <v>7266.2</v>
      </c>
      <c r="K96" s="42">
        <v>14925.62</v>
      </c>
      <c r="L96" s="42">
        <f>SUM(34337.97+647.09+145.22+117.94+3105.73)</f>
        <v>38353.950000000004</v>
      </c>
      <c r="M96" s="42">
        <f t="shared" si="2"/>
        <v>186340.61000000002</v>
      </c>
      <c r="N96" s="42">
        <v>21537.82</v>
      </c>
      <c r="O96" s="42">
        <v>37315.54</v>
      </c>
      <c r="P96" s="42">
        <f>SUM(18578.76+1185)</f>
        <v>19763.759999999998</v>
      </c>
      <c r="Q96" s="42">
        <f t="shared" si="3"/>
        <v>264957.73000000004</v>
      </c>
      <c r="R96" s="42"/>
      <c r="S96" s="42"/>
      <c r="T96" s="42"/>
    </row>
    <row r="97" spans="1:20" x14ac:dyDescent="0.25">
      <c r="A97" s="5" t="s">
        <v>156</v>
      </c>
      <c r="B97" s="40">
        <f>SUM(25-1)</f>
        <v>24</v>
      </c>
      <c r="C97" s="42">
        <f>SUM(1994.094-32.21)</f>
        <v>1961.884</v>
      </c>
      <c r="D97" s="42">
        <f>SUM(2027.69-32.74)</f>
        <v>1994.95</v>
      </c>
      <c r="E97" s="42">
        <f>SUM(10318.22-166.58)</f>
        <v>10151.64</v>
      </c>
      <c r="F97" s="42">
        <f>SUM(1847.81-29.83)</f>
        <v>1817.98</v>
      </c>
      <c r="G97" s="42">
        <f>SUM(915.71-14.78)</f>
        <v>900.93000000000006</v>
      </c>
      <c r="H97" s="42">
        <f>SUM(801.29-12.94)</f>
        <v>788.34999999999991</v>
      </c>
      <c r="I97" s="42">
        <f>SUM(261.62-4.22)</f>
        <v>257.39999999999998</v>
      </c>
      <c r="J97" s="42">
        <v>0</v>
      </c>
      <c r="K97" s="42">
        <f>SUM(905.01-35)</f>
        <v>870.01</v>
      </c>
      <c r="L97" s="42">
        <v>0</v>
      </c>
      <c r="M97" s="42">
        <f t="shared" si="2"/>
        <v>18743.143999999997</v>
      </c>
      <c r="N97" s="42">
        <f>SUM(2663.51-49)</f>
        <v>2614.5100000000002</v>
      </c>
      <c r="O97" s="42">
        <f>SUM(3863.13-2-75.51)</f>
        <v>3785.62</v>
      </c>
      <c r="P97" s="42">
        <f>SUM(1907.25+365+365-15-16.41-15-37.75-32.83)</f>
        <v>2520.2600000000002</v>
      </c>
      <c r="Q97" s="42">
        <f t="shared" si="3"/>
        <v>27663.533999999992</v>
      </c>
      <c r="R97" s="42"/>
      <c r="S97" s="42"/>
      <c r="T97" s="42"/>
    </row>
    <row r="98" spans="1:20" x14ac:dyDescent="0.25">
      <c r="A98" s="5" t="s">
        <v>116</v>
      </c>
      <c r="B98" s="40">
        <v>25</v>
      </c>
      <c r="C98" s="42">
        <v>831.22</v>
      </c>
      <c r="D98" s="42">
        <v>1110.29</v>
      </c>
      <c r="E98" s="42">
        <v>3037.93</v>
      </c>
      <c r="F98" s="42">
        <v>1089.07</v>
      </c>
      <c r="G98" s="42">
        <v>339.04</v>
      </c>
      <c r="H98" s="42">
        <v>1237.5899999999999</v>
      </c>
      <c r="I98" s="42">
        <v>426.99</v>
      </c>
      <c r="J98" s="42">
        <v>0</v>
      </c>
      <c r="K98" s="42">
        <v>14.78</v>
      </c>
      <c r="L98" s="42">
        <v>0</v>
      </c>
      <c r="M98" s="42">
        <f t="shared" si="2"/>
        <v>8086.9099999999989</v>
      </c>
      <c r="N98" s="42">
        <v>1129.23</v>
      </c>
      <c r="O98" s="42">
        <v>1634</v>
      </c>
      <c r="P98" s="42">
        <f>SUM(330+794.5)</f>
        <v>1124.5</v>
      </c>
      <c r="Q98" s="42">
        <f t="shared" si="3"/>
        <v>11974.64</v>
      </c>
      <c r="R98" s="42"/>
      <c r="S98" s="42"/>
      <c r="T98" s="42"/>
    </row>
    <row r="99" spans="1:20" x14ac:dyDescent="0.25">
      <c r="A99" s="5" t="s">
        <v>117</v>
      </c>
      <c r="B99" s="40">
        <v>33</v>
      </c>
      <c r="C99" s="42">
        <v>2681.16</v>
      </c>
      <c r="D99" s="42">
        <v>3538.23</v>
      </c>
      <c r="E99" s="42">
        <f>SUM(557.16+13639.68)</f>
        <v>14196.84</v>
      </c>
      <c r="F99" s="42">
        <v>2241.63</v>
      </c>
      <c r="G99" s="42">
        <f>SUM(1274.64+571.41)</f>
        <v>1846.0500000000002</v>
      </c>
      <c r="H99" s="42">
        <v>1824.07</v>
      </c>
      <c r="I99" s="42">
        <v>307.67</v>
      </c>
      <c r="J99" s="42">
        <v>1887.22</v>
      </c>
      <c r="K99" s="42">
        <v>131.1</v>
      </c>
      <c r="L99" s="42">
        <v>391.82</v>
      </c>
      <c r="M99" s="42">
        <f t="shared" si="2"/>
        <v>29045.789999999997</v>
      </c>
      <c r="N99" s="42">
        <f>SUM(2778.37+991.52)</f>
        <v>3769.89</v>
      </c>
      <c r="O99" s="42">
        <v>5809.13</v>
      </c>
      <c r="P99" s="42">
        <f>SUM(2904.57+495)</f>
        <v>3399.57</v>
      </c>
      <c r="Q99" s="42">
        <f t="shared" si="3"/>
        <v>42024.38</v>
      </c>
      <c r="R99" s="42"/>
      <c r="S99" s="42"/>
      <c r="T99" s="42"/>
    </row>
    <row r="100" spans="1:20" s="37" customFormat="1" x14ac:dyDescent="0.25">
      <c r="A100" s="34" t="s">
        <v>118</v>
      </c>
      <c r="B100" s="50">
        <v>49</v>
      </c>
      <c r="C100" s="47">
        <v>5380.78</v>
      </c>
      <c r="D100" s="47">
        <v>4768.21</v>
      </c>
      <c r="E100" s="47">
        <v>24517.97</v>
      </c>
      <c r="F100" s="47">
        <v>6351.07</v>
      </c>
      <c r="G100" s="47">
        <v>1543.68</v>
      </c>
      <c r="H100" s="47">
        <v>882.1</v>
      </c>
      <c r="I100" s="47">
        <v>441.05</v>
      </c>
      <c r="J100" s="47"/>
      <c r="K100" s="47">
        <v>4.7</v>
      </c>
      <c r="L100" s="47">
        <v>35.630000000000003</v>
      </c>
      <c r="M100" s="47">
        <f t="shared" si="2"/>
        <v>43925.189999999995</v>
      </c>
      <c r="N100" s="47">
        <v>5604.32</v>
      </c>
      <c r="O100" s="47">
        <v>8736.0499999999993</v>
      </c>
      <c r="P100" s="47">
        <f>SUM(4343.54+735)</f>
        <v>5078.54</v>
      </c>
      <c r="Q100" s="47">
        <f t="shared" si="3"/>
        <v>63344.1</v>
      </c>
      <c r="R100" s="47"/>
      <c r="S100" s="47"/>
      <c r="T100" s="47"/>
    </row>
    <row r="101" spans="1:20" s="37" customFormat="1" x14ac:dyDescent="0.25">
      <c r="A101" s="34" t="s">
        <v>119</v>
      </c>
      <c r="B101" s="50">
        <v>137</v>
      </c>
      <c r="C101" s="47">
        <v>18239.09</v>
      </c>
      <c r="D101" s="47">
        <v>18388.61</v>
      </c>
      <c r="E101" s="47">
        <v>83893.2</v>
      </c>
      <c r="F101" s="47">
        <v>14651.07</v>
      </c>
      <c r="G101" s="47">
        <v>8970.0499999999993</v>
      </c>
      <c r="H101" s="47">
        <v>3887.05</v>
      </c>
      <c r="I101" s="47">
        <v>747.74</v>
      </c>
      <c r="J101" s="47">
        <v>0</v>
      </c>
      <c r="K101" s="47">
        <v>42.07</v>
      </c>
      <c r="L101" s="47">
        <v>10565.23</v>
      </c>
      <c r="M101" s="47">
        <f t="shared" si="2"/>
        <v>159384.10999999999</v>
      </c>
      <c r="N101" s="47">
        <f>SUM(14763.2+5508.89)</f>
        <v>20272.09</v>
      </c>
      <c r="O101" s="47">
        <v>31876.78</v>
      </c>
      <c r="P101" s="47">
        <f>SUM(1360+15938.51)</f>
        <v>17298.510000000002</v>
      </c>
      <c r="Q101" s="47">
        <f t="shared" si="3"/>
        <v>228831.49</v>
      </c>
      <c r="R101" s="47"/>
      <c r="S101" s="47"/>
      <c r="T101" s="47"/>
    </row>
    <row r="102" spans="1:20" s="65" customFormat="1" x14ac:dyDescent="0.25">
      <c r="A102" s="62" t="s">
        <v>120</v>
      </c>
      <c r="B102" s="63">
        <v>0</v>
      </c>
      <c r="C102" s="64"/>
      <c r="D102" s="64"/>
      <c r="E102" s="64"/>
      <c r="F102" s="64"/>
      <c r="G102" s="64"/>
      <c r="H102" s="64"/>
      <c r="I102" s="64"/>
      <c r="J102" s="64"/>
      <c r="K102" s="64"/>
      <c r="L102" s="64"/>
      <c r="M102" s="64">
        <f t="shared" si="2"/>
        <v>0</v>
      </c>
      <c r="N102" s="64"/>
      <c r="O102" s="64"/>
      <c r="P102" s="64"/>
      <c r="Q102" s="64">
        <f t="shared" si="3"/>
        <v>0</v>
      </c>
      <c r="R102" s="64"/>
      <c r="S102" s="64"/>
      <c r="T102" s="64"/>
    </row>
    <row r="103" spans="1:20" x14ac:dyDescent="0.25">
      <c r="A103" s="5" t="s">
        <v>121</v>
      </c>
      <c r="B103" s="40">
        <v>129</v>
      </c>
      <c r="C103" s="42">
        <v>26942.720000000001</v>
      </c>
      <c r="D103" s="42">
        <f>SUM(11196.82+51.5)</f>
        <v>11248.32</v>
      </c>
      <c r="E103" s="42">
        <f>SUM(95224.16+2252.33)</f>
        <v>97476.49</v>
      </c>
      <c r="F103" s="42">
        <v>14567.64</v>
      </c>
      <c r="G103" s="42">
        <v>6582.37</v>
      </c>
      <c r="H103" s="42">
        <v>3190.16</v>
      </c>
      <c r="I103" s="42">
        <v>0</v>
      </c>
      <c r="J103" s="42">
        <v>0</v>
      </c>
      <c r="K103" s="42">
        <v>0</v>
      </c>
      <c r="L103" s="42">
        <v>0</v>
      </c>
      <c r="M103" s="42">
        <f t="shared" si="2"/>
        <v>160007.69999999998</v>
      </c>
      <c r="N103" s="42">
        <v>19966.669999999998</v>
      </c>
      <c r="O103" s="42">
        <v>32553.02</v>
      </c>
      <c r="P103" s="42">
        <v>28014.14</v>
      </c>
      <c r="Q103" s="42">
        <f t="shared" si="3"/>
        <v>240541.52999999997</v>
      </c>
      <c r="R103" s="42"/>
      <c r="S103" s="42"/>
      <c r="T103" s="42"/>
    </row>
    <row r="104" spans="1:20" x14ac:dyDescent="0.25">
      <c r="A104" s="5" t="s">
        <v>122</v>
      </c>
      <c r="B104" s="40">
        <v>4</v>
      </c>
      <c r="C104" s="42">
        <f>SUM(158.2+158.2/1655.9*124.74)+(158.2/1655.9*165.59)</f>
        <v>185.93730660064011</v>
      </c>
      <c r="D104" s="42">
        <f>SUM(171.17+171.17/1655.9*124.74)+(171.17/1655.9*165.59)+40</f>
        <v>241.18134494836642</v>
      </c>
      <c r="E104" s="42">
        <f>SUM(794.88+794.88/1655.9*124.74)+(794.88/1655.9*165.59)</f>
        <v>934.24681587052351</v>
      </c>
      <c r="F104" s="42">
        <f>SUM(188.03+188.03/1655.9*124.74)+(188.03/1655.9*165.59)</f>
        <v>220.99741946977474</v>
      </c>
      <c r="G104" s="42">
        <f>SUM(103.74+103.74/1655.9*124.74)+(103.74/1655.9*165.59)</f>
        <v>121.92880016909233</v>
      </c>
      <c r="H104" s="42">
        <f>SUM(189.32+189.32/1655.9*124.74)+(189.32/1655.9*165.59)</f>
        <v>222.51359599009601</v>
      </c>
      <c r="I104" s="42">
        <f>SUM(50.56+50.56/1655.9*124.74)+(50.56/1655.9*165.59)</f>
        <v>59.424716951506731</v>
      </c>
      <c r="J104" s="42">
        <v>0</v>
      </c>
      <c r="K104" s="42">
        <v>0</v>
      </c>
      <c r="L104" s="42">
        <v>0</v>
      </c>
      <c r="M104" s="42">
        <f t="shared" si="2"/>
        <v>1986.2299999999998</v>
      </c>
      <c r="N104" s="42">
        <v>257.38</v>
      </c>
      <c r="O104" s="42">
        <v>389.25</v>
      </c>
      <c r="P104" s="42">
        <v>254.62</v>
      </c>
      <c r="Q104" s="42">
        <f t="shared" si="3"/>
        <v>2887.4799999999996</v>
      </c>
      <c r="R104" s="42"/>
      <c r="S104" s="42"/>
      <c r="T104" s="42"/>
    </row>
    <row r="105" spans="1:20" s="37" customFormat="1" x14ac:dyDescent="0.25">
      <c r="A105" s="34" t="s">
        <v>123</v>
      </c>
      <c r="B105" s="50">
        <v>60</v>
      </c>
      <c r="C105" s="47">
        <v>3788.87</v>
      </c>
      <c r="D105" s="47">
        <v>2600.3200000000002</v>
      </c>
      <c r="E105" s="47">
        <v>12702.09</v>
      </c>
      <c r="F105" s="47">
        <v>2298.14</v>
      </c>
      <c r="G105" s="47">
        <v>2173.9499999999998</v>
      </c>
      <c r="H105" s="47">
        <v>1242.26</v>
      </c>
      <c r="I105" s="47">
        <v>279.52</v>
      </c>
      <c r="J105" s="47">
        <v>0</v>
      </c>
      <c r="K105" s="47">
        <v>16.649999999999999</v>
      </c>
      <c r="L105" s="47"/>
      <c r="M105" s="47">
        <f t="shared" si="2"/>
        <v>25101.8</v>
      </c>
      <c r="N105" s="47">
        <f>SUM(2351.99+970.28)</f>
        <v>3322.2699999999995</v>
      </c>
      <c r="O105" s="47">
        <f>SUM(4972.35+120)</f>
        <v>5092.3500000000004</v>
      </c>
      <c r="P105" s="47">
        <f>SUM(900+2486.23)</f>
        <v>3386.23</v>
      </c>
      <c r="Q105" s="47">
        <f t="shared" si="3"/>
        <v>36902.65</v>
      </c>
      <c r="R105" s="47"/>
      <c r="S105" s="47"/>
      <c r="T105" s="47"/>
    </row>
    <row r="106" spans="1:20" x14ac:dyDescent="0.25">
      <c r="A106" s="34" t="s">
        <v>124</v>
      </c>
      <c r="B106" s="50">
        <v>50</v>
      </c>
      <c r="C106" s="47">
        <f>SUM(6303.36-174.06)</f>
        <v>6129.2999999999993</v>
      </c>
      <c r="D106" s="47">
        <f>SUM(3702.75-118.96)</f>
        <v>3583.79</v>
      </c>
      <c r="E106" s="47">
        <f>SUM(29346.38-811.38)</f>
        <v>28535</v>
      </c>
      <c r="F106" s="47">
        <f>SUM(5166.57-142.84)</f>
        <v>5023.7299999999996</v>
      </c>
      <c r="G106" s="47">
        <f>SUM(2325.01-63.77)</f>
        <v>2261.2400000000002</v>
      </c>
      <c r="H106" s="47">
        <v>0</v>
      </c>
      <c r="I106" s="47">
        <v>0</v>
      </c>
      <c r="J106" s="47">
        <v>0</v>
      </c>
      <c r="K106" s="47">
        <v>2.42</v>
      </c>
      <c r="L106" s="47">
        <v>0</v>
      </c>
      <c r="M106" s="47">
        <f t="shared" si="2"/>
        <v>45535.479999999989</v>
      </c>
      <c r="N106" s="47">
        <f>SUM(6179.4-137.47)</f>
        <v>6041.9299999999994</v>
      </c>
      <c r="O106" s="47">
        <f>SUM(9429.45-322.25)</f>
        <v>9107.2000000000007</v>
      </c>
      <c r="P106" s="47">
        <f>SUM(4705.2+720-233.67)</f>
        <v>5191.53</v>
      </c>
      <c r="Q106" s="47">
        <f t="shared" si="3"/>
        <v>65876.139999999985</v>
      </c>
      <c r="R106" s="42"/>
      <c r="S106" s="42"/>
      <c r="T106" s="42"/>
    </row>
    <row r="107" spans="1:20" x14ac:dyDescent="0.25">
      <c r="A107" s="5" t="s">
        <v>125</v>
      </c>
      <c r="B107" s="40">
        <v>53</v>
      </c>
      <c r="C107" s="42">
        <v>3992.74</v>
      </c>
      <c r="D107" s="42">
        <v>2722.73</v>
      </c>
      <c r="E107" s="42">
        <v>16494.59</v>
      </c>
      <c r="F107" s="42">
        <v>1996.38</v>
      </c>
      <c r="G107" s="42">
        <v>1472.82</v>
      </c>
      <c r="H107" s="42">
        <v>1047.29</v>
      </c>
      <c r="I107" s="42">
        <v>294.54000000000002</v>
      </c>
      <c r="J107" s="42">
        <v>1898.18</v>
      </c>
      <c r="K107" s="42">
        <v>0.8</v>
      </c>
      <c r="L107" s="42">
        <f>SUM(106+2159.99)</f>
        <v>2265.9899999999998</v>
      </c>
      <c r="M107" s="42">
        <f t="shared" si="2"/>
        <v>32186.059999999998</v>
      </c>
      <c r="N107" s="42">
        <f>SUM(2950.24+1188.21)</f>
        <v>4138.45</v>
      </c>
      <c r="O107" s="42">
        <v>6169.57</v>
      </c>
      <c r="P107" s="42">
        <f>SUM(3084.83+780)</f>
        <v>3864.83</v>
      </c>
      <c r="Q107" s="42">
        <f t="shared" si="3"/>
        <v>46358.909999999996</v>
      </c>
      <c r="R107" s="42"/>
      <c r="S107" s="42"/>
      <c r="T107" s="42"/>
    </row>
    <row r="108" spans="1:20" s="37" customFormat="1" x14ac:dyDescent="0.25">
      <c r="A108" s="34" t="s">
        <v>126</v>
      </c>
      <c r="B108" s="50">
        <v>54</v>
      </c>
      <c r="C108" s="47">
        <v>11649.14</v>
      </c>
      <c r="D108" s="47">
        <v>7531.49</v>
      </c>
      <c r="E108" s="47">
        <v>46787.360000000001</v>
      </c>
      <c r="F108" s="47">
        <v>5633.56</v>
      </c>
      <c r="G108" s="47">
        <v>4201.32</v>
      </c>
      <c r="H108" s="47">
        <v>1728.26</v>
      </c>
      <c r="I108" s="47">
        <v>0</v>
      </c>
      <c r="J108" s="47">
        <v>0</v>
      </c>
      <c r="K108" s="47">
        <v>0</v>
      </c>
      <c r="L108" s="47">
        <v>0</v>
      </c>
      <c r="M108" s="47">
        <f t="shared" si="2"/>
        <v>77531.12999999999</v>
      </c>
      <c r="N108" s="47">
        <v>9687.2199999999993</v>
      </c>
      <c r="O108" s="47">
        <v>15429.48</v>
      </c>
      <c r="P108" s="47">
        <v>8470.7000000000007</v>
      </c>
      <c r="Q108" s="47">
        <f t="shared" si="3"/>
        <v>111118.52999999998</v>
      </c>
      <c r="R108" s="47"/>
      <c r="S108" s="47"/>
      <c r="T108" s="47"/>
    </row>
    <row r="109" spans="1:20" x14ac:dyDescent="0.25">
      <c r="A109" s="5" t="s">
        <v>127</v>
      </c>
      <c r="B109" s="40">
        <v>98</v>
      </c>
      <c r="C109" s="42">
        <v>16383.7</v>
      </c>
      <c r="D109" s="42">
        <v>15752.2</v>
      </c>
      <c r="E109" s="42">
        <v>96019.3</v>
      </c>
      <c r="F109" s="42">
        <v>4700.26</v>
      </c>
      <c r="G109" s="42">
        <v>5035.97</v>
      </c>
      <c r="H109" s="42">
        <v>2779.89</v>
      </c>
      <c r="I109" s="42">
        <v>0</v>
      </c>
      <c r="J109" s="42">
        <v>0</v>
      </c>
      <c r="K109" s="42">
        <f>SUM(283.22+371.61+3086.91+3134.96+239.08+778.74+493.35+38.62+1706.58)</f>
        <v>10133.07</v>
      </c>
      <c r="L109" s="42">
        <f>SUM(4565.9+7.78+1342.93)</f>
        <v>5916.61</v>
      </c>
      <c r="M109" s="42">
        <f t="shared" si="2"/>
        <v>156721.00000000003</v>
      </c>
      <c r="N109" s="42">
        <v>18396.55</v>
      </c>
      <c r="O109" s="42">
        <v>31344.23</v>
      </c>
      <c r="P109" s="42">
        <f>SUM(15574.09+1470)</f>
        <v>17044.09</v>
      </c>
      <c r="Q109" s="42">
        <f t="shared" si="3"/>
        <v>223505.87000000002</v>
      </c>
      <c r="R109" s="42"/>
      <c r="S109" s="42"/>
      <c r="T109" s="42"/>
    </row>
    <row r="110" spans="1:20" s="37" customFormat="1" x14ac:dyDescent="0.25">
      <c r="A110" s="34" t="s">
        <v>128</v>
      </c>
      <c r="B110" s="50">
        <v>45</v>
      </c>
      <c r="C110" s="47">
        <v>7966.09</v>
      </c>
      <c r="D110" s="47">
        <v>7306.06</v>
      </c>
      <c r="E110" s="47">
        <v>33366.17</v>
      </c>
      <c r="F110" s="47">
        <v>3917.75</v>
      </c>
      <c r="G110" s="47">
        <v>0</v>
      </c>
      <c r="H110" s="47">
        <v>1305.9100000000001</v>
      </c>
      <c r="I110" s="47">
        <v>0</v>
      </c>
      <c r="J110" s="47">
        <v>2546.5500000000002</v>
      </c>
      <c r="K110" s="47">
        <v>0</v>
      </c>
      <c r="L110" s="47">
        <v>0</v>
      </c>
      <c r="M110" s="47">
        <f t="shared" si="2"/>
        <v>56408.530000000006</v>
      </c>
      <c r="N110" s="47">
        <v>7145.18</v>
      </c>
      <c r="O110" s="47">
        <v>11191.69</v>
      </c>
      <c r="P110" s="47">
        <v>6270.83</v>
      </c>
      <c r="Q110" s="47">
        <f t="shared" si="3"/>
        <v>81016.23000000001</v>
      </c>
      <c r="R110" s="47"/>
      <c r="S110" s="47"/>
      <c r="T110" s="47"/>
    </row>
    <row r="111" spans="1:20" x14ac:dyDescent="0.25">
      <c r="A111" s="5" t="s">
        <v>129</v>
      </c>
      <c r="B111" s="40">
        <v>35</v>
      </c>
      <c r="C111" s="42">
        <v>3282.74</v>
      </c>
      <c r="D111" s="42">
        <v>3124.42</v>
      </c>
      <c r="E111" s="42">
        <v>16354.54</v>
      </c>
      <c r="F111" s="42">
        <v>1218.6199999999999</v>
      </c>
      <c r="G111" s="42">
        <v>1038.3800000000001</v>
      </c>
      <c r="H111" s="42">
        <v>941.13</v>
      </c>
      <c r="I111" s="42">
        <v>222.78</v>
      </c>
      <c r="J111" s="42">
        <v>0</v>
      </c>
      <c r="K111" s="42">
        <f>SUM(1177.41+0.21)</f>
        <v>1177.6200000000001</v>
      </c>
      <c r="L111" s="42">
        <v>0</v>
      </c>
      <c r="M111" s="42">
        <f t="shared" si="2"/>
        <v>27360.23</v>
      </c>
      <c r="N111" s="42">
        <v>3383.12</v>
      </c>
      <c r="O111" s="42">
        <v>5374.05</v>
      </c>
      <c r="P111" s="42">
        <f>SUM(2652.01+525)</f>
        <v>3177.01</v>
      </c>
      <c r="Q111" s="42">
        <f t="shared" si="3"/>
        <v>39294.410000000003</v>
      </c>
      <c r="R111" s="42"/>
      <c r="S111" s="42"/>
      <c r="T111" s="42"/>
    </row>
    <row r="112" spans="1:20" s="37" customFormat="1" x14ac:dyDescent="0.25">
      <c r="A112" s="34" t="s">
        <v>130</v>
      </c>
      <c r="B112" s="50">
        <v>32</v>
      </c>
      <c r="C112" s="47">
        <v>3534.08</v>
      </c>
      <c r="D112" s="47">
        <v>2346.44</v>
      </c>
      <c r="E112" s="47">
        <v>10545.69</v>
      </c>
      <c r="F112" s="47">
        <v>1940.88</v>
      </c>
      <c r="G112" s="47">
        <v>941.46</v>
      </c>
      <c r="H112" s="47">
        <v>1071.8599999999999</v>
      </c>
      <c r="I112" s="47">
        <v>0</v>
      </c>
      <c r="J112" s="47">
        <v>0</v>
      </c>
      <c r="K112" s="47">
        <v>7.0000000000000007E-2</v>
      </c>
      <c r="L112" s="47">
        <v>2375.36</v>
      </c>
      <c r="M112" s="47">
        <f t="shared" si="2"/>
        <v>22755.84</v>
      </c>
      <c r="N112" s="47">
        <f>SUM(2152.75+890)</f>
        <v>3042.75</v>
      </c>
      <c r="O112" s="47">
        <v>4551.17</v>
      </c>
      <c r="P112" s="47">
        <f>SUM(320+2275.6)</f>
        <v>2595.6</v>
      </c>
      <c r="Q112" s="47">
        <f t="shared" si="3"/>
        <v>32945.360000000001</v>
      </c>
      <c r="R112" s="47"/>
      <c r="S112" s="47"/>
      <c r="T112" s="47"/>
    </row>
    <row r="113" spans="1:20" s="37" customFormat="1" x14ac:dyDescent="0.25">
      <c r="A113" s="34" t="s">
        <v>131</v>
      </c>
      <c r="B113" s="50">
        <v>34</v>
      </c>
      <c r="C113" s="47">
        <v>2084.65</v>
      </c>
      <c r="D113" s="47">
        <v>1895.64</v>
      </c>
      <c r="E113" s="47">
        <v>6817.82</v>
      </c>
      <c r="F113" s="47">
        <v>6817.82</v>
      </c>
      <c r="G113" s="47">
        <v>734.76</v>
      </c>
      <c r="H113" s="47">
        <v>632.24</v>
      </c>
      <c r="I113" s="47">
        <v>170.87</v>
      </c>
      <c r="J113" s="47"/>
      <c r="K113" s="47">
        <v>0.46</v>
      </c>
      <c r="L113" s="47">
        <v>60.46</v>
      </c>
      <c r="M113" s="47">
        <f t="shared" si="2"/>
        <v>19214.719999999998</v>
      </c>
      <c r="N113" s="47">
        <v>1683.27</v>
      </c>
      <c r="O113" s="47">
        <v>2650.27</v>
      </c>
      <c r="P113" s="47">
        <f>SUM(1308.13+510)</f>
        <v>1818.13</v>
      </c>
      <c r="Q113" s="47">
        <f t="shared" si="3"/>
        <v>25366.39</v>
      </c>
      <c r="R113" s="47"/>
      <c r="S113" s="47"/>
      <c r="T113" s="47"/>
    </row>
    <row r="114" spans="1:20" x14ac:dyDescent="0.25">
      <c r="A114" s="5" t="s">
        <v>132</v>
      </c>
      <c r="B114" s="40">
        <v>70</v>
      </c>
      <c r="C114" s="42">
        <v>3869.88</v>
      </c>
      <c r="D114" s="42">
        <v>2888.63</v>
      </c>
      <c r="E114" s="42">
        <v>16050.51</v>
      </c>
      <c r="F114" s="42">
        <v>1298.58</v>
      </c>
      <c r="G114" s="42">
        <v>2537.63</v>
      </c>
      <c r="H114" s="42">
        <v>0</v>
      </c>
      <c r="I114" s="42">
        <v>0</v>
      </c>
      <c r="J114" s="42">
        <v>0</v>
      </c>
      <c r="K114" s="42">
        <f>SUM(1732)</f>
        <v>1732</v>
      </c>
      <c r="L114" s="42">
        <v>0</v>
      </c>
      <c r="M114" s="42">
        <f t="shared" si="2"/>
        <v>28377.23</v>
      </c>
      <c r="N114" s="42">
        <v>3712.79</v>
      </c>
      <c r="O114" s="42">
        <v>5745.22</v>
      </c>
      <c r="P114" s="42">
        <f>SUM(2802.64+1050)</f>
        <v>3852.64</v>
      </c>
      <c r="Q114" s="42">
        <f t="shared" si="3"/>
        <v>41687.879999999997</v>
      </c>
      <c r="R114" s="42"/>
      <c r="S114" s="42"/>
      <c r="T114" s="42"/>
    </row>
    <row r="115" spans="1:20" x14ac:dyDescent="0.25">
      <c r="A115" s="34" t="s">
        <v>133</v>
      </c>
      <c r="B115" s="50">
        <f>SUM(15-2)</f>
        <v>13</v>
      </c>
      <c r="C115" s="47">
        <f>SUM(1481.98-33.26)</f>
        <v>1448.72</v>
      </c>
      <c r="D115" s="47">
        <f>SUM(1097.48-21.26)</f>
        <v>1076.22</v>
      </c>
      <c r="E115" s="47">
        <f>SUM(8005.08-179.65)</f>
        <v>7825.43</v>
      </c>
      <c r="F115" s="47">
        <f>SUM(1445.55-32.45)</f>
        <v>1413.1</v>
      </c>
      <c r="G115" s="47">
        <f>SUM(485.89-10.9)</f>
        <v>474.99</v>
      </c>
      <c r="H115" s="47">
        <f>SUM(510.19-11.46)</f>
        <v>498.73</v>
      </c>
      <c r="I115" s="47">
        <v>0</v>
      </c>
      <c r="J115" s="47">
        <v>0</v>
      </c>
      <c r="K115" s="47">
        <v>3.31</v>
      </c>
      <c r="L115" s="47">
        <v>66.72</v>
      </c>
      <c r="M115" s="47">
        <f t="shared" si="2"/>
        <v>12807.22</v>
      </c>
      <c r="N115" s="47">
        <f>SUM(1745.18-38.94)</f>
        <v>1706.24</v>
      </c>
      <c r="O115" s="47">
        <f>SUM(2619.24-61.8)</f>
        <v>2557.4399999999996</v>
      </c>
      <c r="P115" s="47">
        <f>SUM(1519.62-78.9)</f>
        <v>1440.7199999999998</v>
      </c>
      <c r="Q115" s="47">
        <f t="shared" si="3"/>
        <v>18511.62</v>
      </c>
      <c r="R115" s="42"/>
      <c r="S115" s="42"/>
      <c r="T115" s="42"/>
    </row>
    <row r="116" spans="1:20" s="37" customFormat="1" x14ac:dyDescent="0.25">
      <c r="A116" s="34" t="s">
        <v>134</v>
      </c>
      <c r="B116" s="50">
        <v>22</v>
      </c>
      <c r="C116" s="47">
        <v>2000.92</v>
      </c>
      <c r="D116" s="47">
        <v>1636.51</v>
      </c>
      <c r="E116" s="47">
        <v>9197.36</v>
      </c>
      <c r="F116" s="47">
        <v>1262.46</v>
      </c>
      <c r="G116" s="47">
        <v>410.08</v>
      </c>
      <c r="H116" s="47">
        <v>671.89</v>
      </c>
      <c r="I116" s="47">
        <v>0</v>
      </c>
      <c r="J116" s="47">
        <v>0</v>
      </c>
      <c r="K116" s="47">
        <v>0</v>
      </c>
      <c r="L116" s="47">
        <v>0</v>
      </c>
      <c r="M116" s="47">
        <f t="shared" si="2"/>
        <v>15179.22</v>
      </c>
      <c r="N116" s="47">
        <v>1956.51</v>
      </c>
      <c r="O116" s="47">
        <v>6054.94</v>
      </c>
      <c r="P116" s="47">
        <v>1983.43</v>
      </c>
      <c r="Q116" s="47">
        <f t="shared" si="3"/>
        <v>25174.1</v>
      </c>
      <c r="R116" s="47"/>
      <c r="S116" s="47"/>
      <c r="T116" s="47"/>
    </row>
    <row r="117" spans="1:20" x14ac:dyDescent="0.25">
      <c r="A117" s="5" t="s">
        <v>135</v>
      </c>
      <c r="B117" s="40">
        <v>131</v>
      </c>
      <c r="C117" s="42">
        <v>18504.810000000001</v>
      </c>
      <c r="D117" s="42">
        <v>25530.41</v>
      </c>
      <c r="E117" s="42">
        <v>52713.57</v>
      </c>
      <c r="F117" s="42">
        <v>6370.51</v>
      </c>
      <c r="G117" s="42">
        <v>3033.58</v>
      </c>
      <c r="H117" s="42">
        <v>910.1</v>
      </c>
      <c r="I117" s="42">
        <v>455.01</v>
      </c>
      <c r="J117" s="42">
        <v>0</v>
      </c>
      <c r="K117" s="42">
        <f>SUM(3.49+4346.5)</f>
        <v>4349.99</v>
      </c>
      <c r="L117" s="42">
        <v>244.26</v>
      </c>
      <c r="M117" s="42">
        <f t="shared" si="2"/>
        <v>112112.24</v>
      </c>
      <c r="N117" s="42">
        <v>13388.1</v>
      </c>
      <c r="O117" s="42">
        <v>21977.02</v>
      </c>
      <c r="P117" s="42">
        <f>SUM(10857.57+1965)</f>
        <v>12822.57</v>
      </c>
      <c r="Q117" s="42">
        <f t="shared" si="3"/>
        <v>160299.93000000002</v>
      </c>
      <c r="R117" s="42"/>
      <c r="S117" s="42"/>
      <c r="T117" s="42"/>
    </row>
    <row r="118" spans="1:20" s="37" customFormat="1" x14ac:dyDescent="0.25">
      <c r="A118" s="34" t="s">
        <v>136</v>
      </c>
      <c r="B118" s="50">
        <v>25</v>
      </c>
      <c r="C118" s="47">
        <v>2184.2579999999998</v>
      </c>
      <c r="D118" s="47">
        <v>1853.63</v>
      </c>
      <c r="E118" s="47">
        <v>10545.5</v>
      </c>
      <c r="F118" s="47">
        <v>1521.85</v>
      </c>
      <c r="G118" s="47">
        <v>409.65</v>
      </c>
      <c r="H118" s="47">
        <v>1562.99</v>
      </c>
      <c r="I118" s="47">
        <v>0</v>
      </c>
      <c r="J118" s="47">
        <v>0</v>
      </c>
      <c r="K118" s="47">
        <f>SUM(3.12+1203.06)</f>
        <v>1206.1799999999998</v>
      </c>
      <c r="L118" s="47">
        <v>196.96</v>
      </c>
      <c r="M118" s="47">
        <f t="shared" si="2"/>
        <v>19481.018</v>
      </c>
      <c r="N118" s="47">
        <v>2413.3200000000002</v>
      </c>
      <c r="O118" s="47">
        <v>3851.2</v>
      </c>
      <c r="P118" s="47">
        <f>SUM(1900.62+375)</f>
        <v>2275.62</v>
      </c>
      <c r="Q118" s="47">
        <f t="shared" si="3"/>
        <v>28021.157999999999</v>
      </c>
      <c r="R118" s="47"/>
      <c r="S118" s="47"/>
      <c r="T118" s="47"/>
    </row>
    <row r="119" spans="1:20" x14ac:dyDescent="0.25">
      <c r="A119" s="34" t="s">
        <v>137</v>
      </c>
      <c r="B119" s="50">
        <v>40</v>
      </c>
      <c r="C119" s="47">
        <v>2932.38</v>
      </c>
      <c r="D119" s="47">
        <v>3028.51</v>
      </c>
      <c r="E119" s="47">
        <v>10695.99</v>
      </c>
      <c r="F119" s="47">
        <v>2235.36</v>
      </c>
      <c r="G119" s="47">
        <v>721.09</v>
      </c>
      <c r="H119" s="47">
        <v>2283.39</v>
      </c>
      <c r="I119" s="47">
        <v>360.53</v>
      </c>
      <c r="J119" s="47">
        <v>89.1</v>
      </c>
      <c r="K119" s="47">
        <v>10.29</v>
      </c>
      <c r="L119" s="47">
        <v>0</v>
      </c>
      <c r="M119" s="47">
        <f t="shared" si="2"/>
        <v>22356.639999999999</v>
      </c>
      <c r="N119" s="47">
        <v>2956.07</v>
      </c>
      <c r="O119" s="47">
        <v>4471.3500000000004</v>
      </c>
      <c r="P119" s="47">
        <v>2635.64</v>
      </c>
      <c r="Q119" s="47">
        <f t="shared" si="3"/>
        <v>32419.699999999997</v>
      </c>
      <c r="R119" s="42"/>
      <c r="S119" s="42"/>
      <c r="T119" s="42"/>
    </row>
    <row r="120" spans="1:20" x14ac:dyDescent="0.25">
      <c r="A120" s="5" t="s">
        <v>138</v>
      </c>
      <c r="B120" s="40">
        <v>29</v>
      </c>
      <c r="C120" s="42">
        <v>1814.48</v>
      </c>
      <c r="D120" s="42">
        <v>2878.33</v>
      </c>
      <c r="E120" s="42">
        <v>7227.86</v>
      </c>
      <c r="F120" s="42">
        <v>951.7</v>
      </c>
      <c r="G120" s="42">
        <v>409.04</v>
      </c>
      <c r="H120" s="42">
        <v>877.53</v>
      </c>
      <c r="I120" s="42">
        <v>0</v>
      </c>
      <c r="J120" s="42">
        <v>515.58000000000004</v>
      </c>
      <c r="K120" s="42">
        <v>0</v>
      </c>
      <c r="L120" s="42">
        <v>0</v>
      </c>
      <c r="M120" s="42">
        <f t="shared" si="2"/>
        <v>14674.52</v>
      </c>
      <c r="N120" s="42">
        <v>1814.04</v>
      </c>
      <c r="O120" s="42">
        <v>2895.78</v>
      </c>
      <c r="P120" s="42">
        <v>1708.94</v>
      </c>
      <c r="Q120" s="42">
        <f t="shared" si="3"/>
        <v>21093.279999999999</v>
      </c>
      <c r="R120" s="42"/>
      <c r="S120" s="42"/>
      <c r="T120" s="42"/>
    </row>
    <row r="121" spans="1:20" x14ac:dyDescent="0.25">
      <c r="A121" s="5" t="s">
        <v>139</v>
      </c>
      <c r="B121" s="40">
        <v>139</v>
      </c>
      <c r="C121" s="42">
        <v>12630.55</v>
      </c>
      <c r="D121" s="42">
        <v>9743.32</v>
      </c>
      <c r="E121" s="42">
        <v>34157.75</v>
      </c>
      <c r="F121" s="42">
        <v>5383.52</v>
      </c>
      <c r="G121" s="42">
        <v>4141.18</v>
      </c>
      <c r="H121" s="42">
        <v>5487.04</v>
      </c>
      <c r="I121" s="42">
        <v>1449.4</v>
      </c>
      <c r="J121" s="42">
        <v>0</v>
      </c>
      <c r="K121" s="42">
        <v>87.55</v>
      </c>
      <c r="L121" s="42">
        <v>0</v>
      </c>
      <c r="M121" s="42">
        <f t="shared" si="2"/>
        <v>73080.31</v>
      </c>
      <c r="N121" s="42">
        <v>9444.2000000000007</v>
      </c>
      <c r="O121" s="42">
        <v>14560.45</v>
      </c>
      <c r="P121" s="42">
        <f>SUM(7141.19+2085)</f>
        <v>9226.1899999999987</v>
      </c>
      <c r="Q121" s="42">
        <f t="shared" si="3"/>
        <v>106311.15</v>
      </c>
      <c r="R121" s="42"/>
      <c r="S121" s="42"/>
      <c r="T121" s="42"/>
    </row>
    <row r="122" spans="1:20" x14ac:dyDescent="0.25">
      <c r="A122" s="5" t="s">
        <v>140</v>
      </c>
      <c r="B122" s="40">
        <v>9</v>
      </c>
      <c r="C122" s="42">
        <f>SUM(134.33+134.33/953.12*95.32)+(134.33/953.12*59.85)</f>
        <v>156.19921489424209</v>
      </c>
      <c r="D122" s="42">
        <f>SUM(87+87/953.12*95.32)+(87/953.12*59.85)+90</f>
        <v>191.16378840020144</v>
      </c>
      <c r="E122" s="42">
        <f>SUM(368.87+368.87/953.12*95.32)+(368.87/953.12*59.85)</f>
        <v>428.92283479519892</v>
      </c>
      <c r="F122" s="42">
        <f>SUM(135.44+135.44/953.12*95.32)+(135.44/953.12*59.85)</f>
        <v>157.48992529796877</v>
      </c>
      <c r="G122" s="42">
        <f>SUM(44.04+44.04/953.12*95.32)+(44.04/953.12*59.85)</f>
        <v>51.209807369481283</v>
      </c>
      <c r="H122" s="42">
        <f>SUM(126.64+126.64/953.12*95.32)+(126.64/953.12*59.85)</f>
        <v>147.25726624139668</v>
      </c>
      <c r="I122" s="42">
        <f>SUM(51.76+51.76/953.12*95.32)+(51.76/953.12*59.85)</f>
        <v>60.186640087292261</v>
      </c>
      <c r="J122" s="42">
        <v>0</v>
      </c>
      <c r="K122" s="42">
        <f>SUM(5.04+5.04/953.12*95.32)+(5.04/953.12*59.85)</f>
        <v>5.8605229142185662</v>
      </c>
      <c r="L122" s="42">
        <v>0</v>
      </c>
      <c r="M122" s="42">
        <f t="shared" si="2"/>
        <v>1198.29</v>
      </c>
      <c r="N122" s="42">
        <f>SUM(43.58+104.84)</f>
        <v>148.42000000000002</v>
      </c>
      <c r="O122" s="42">
        <f>SUM(221.66+18)</f>
        <v>239.66</v>
      </c>
      <c r="P122" s="42">
        <f>SUM(270+110.82)</f>
        <v>380.82</v>
      </c>
      <c r="Q122" s="42">
        <f t="shared" si="3"/>
        <v>1967.19</v>
      </c>
      <c r="R122" s="42"/>
      <c r="S122" s="42"/>
      <c r="T122" s="42"/>
    </row>
    <row r="123" spans="1:20" x14ac:dyDescent="0.25">
      <c r="A123" s="7" t="s">
        <v>155</v>
      </c>
      <c r="B123" s="55">
        <v>70</v>
      </c>
      <c r="C123" s="56">
        <v>4072.75</v>
      </c>
      <c r="D123" s="56">
        <v>2336.84</v>
      </c>
      <c r="E123" s="56">
        <v>22166.57</v>
      </c>
      <c r="F123" s="56">
        <v>2203.33</v>
      </c>
      <c r="G123" s="56">
        <v>667.67</v>
      </c>
      <c r="H123" s="56">
        <v>567.53</v>
      </c>
      <c r="I123" s="56">
        <v>0</v>
      </c>
      <c r="J123" s="56">
        <v>0</v>
      </c>
      <c r="K123" s="56">
        <v>1131.42</v>
      </c>
      <c r="L123" s="56">
        <v>0</v>
      </c>
      <c r="M123" s="56">
        <f t="shared" si="2"/>
        <v>33146.109999999993</v>
      </c>
      <c r="N123" s="56">
        <v>4068.81</v>
      </c>
      <c r="O123" s="56">
        <v>6629.25</v>
      </c>
      <c r="P123" s="56">
        <v>3704.6</v>
      </c>
      <c r="Q123" s="56">
        <f t="shared" si="3"/>
        <v>47548.76999999999</v>
      </c>
      <c r="R123" s="42"/>
      <c r="S123" s="42"/>
      <c r="T123" s="42"/>
    </row>
    <row r="124" spans="1:20" ht="15.75" thickBot="1" x14ac:dyDescent="0.3">
      <c r="A124" s="57" t="s">
        <v>141</v>
      </c>
      <c r="B124" s="58">
        <f>SUM(B4:B123)</f>
        <v>9060</v>
      </c>
      <c r="C124" s="59">
        <f t="shared" ref="C124:Q124" si="4">SUM(C4:C123)</f>
        <v>1053548.6374327228</v>
      </c>
      <c r="D124" s="59">
        <f t="shared" si="4"/>
        <v>1191985.3734483281</v>
      </c>
      <c r="E124" s="59">
        <f t="shared" si="4"/>
        <v>5063483.1675435649</v>
      </c>
      <c r="F124" s="59">
        <f t="shared" si="4"/>
        <v>480028.28101511003</v>
      </c>
      <c r="G124" s="59">
        <f t="shared" si="4"/>
        <v>259983.21559891841</v>
      </c>
      <c r="H124" s="59">
        <f t="shared" si="4"/>
        <v>170992.0969250038</v>
      </c>
      <c r="I124" s="59">
        <f t="shared" si="4"/>
        <v>26958.848712961088</v>
      </c>
      <c r="J124" s="59">
        <f t="shared" si="4"/>
        <v>77829.352702880686</v>
      </c>
      <c r="K124" s="59">
        <f t="shared" si="4"/>
        <v>310174.66993950441</v>
      </c>
      <c r="L124" s="59">
        <f t="shared" si="4"/>
        <v>460370.7032659055</v>
      </c>
      <c r="M124" s="59">
        <f t="shared" si="4"/>
        <v>9095354.3465849031</v>
      </c>
      <c r="N124" s="59">
        <f t="shared" si="4"/>
        <v>1324755.6700000006</v>
      </c>
      <c r="O124" s="59">
        <f t="shared" si="4"/>
        <v>1794033.53</v>
      </c>
      <c r="P124" s="59">
        <f t="shared" si="4"/>
        <v>1079162.0900000001</v>
      </c>
      <c r="Q124" s="59">
        <f t="shared" si="4"/>
        <v>13293305.636584897</v>
      </c>
    </row>
    <row r="125" spans="1:20" ht="15.75" thickTop="1" x14ac:dyDescent="0.25"/>
    <row r="126" spans="1:20" x14ac:dyDescent="0.25">
      <c r="A126" s="45" t="s">
        <v>172</v>
      </c>
      <c r="C126" s="39"/>
      <c r="D126" s="39"/>
      <c r="E126" s="39"/>
      <c r="F126" s="39"/>
      <c r="G126" s="39"/>
      <c r="H126" s="39"/>
      <c r="I126" s="39"/>
      <c r="J126" s="39"/>
      <c r="K126" s="39"/>
      <c r="L126" s="39"/>
      <c r="M126" s="39"/>
      <c r="N126" s="39"/>
      <c r="O126" s="39"/>
      <c r="P126" s="39"/>
      <c r="Q126" s="39"/>
    </row>
    <row r="127" spans="1:20" x14ac:dyDescent="0.25">
      <c r="A127" s="44"/>
      <c r="C127" s="1"/>
      <c r="D127" s="1"/>
      <c r="E127" s="1"/>
      <c r="F127" s="1"/>
      <c r="G127" s="1"/>
      <c r="H127" s="1"/>
      <c r="I127" s="1"/>
      <c r="J127" s="1"/>
      <c r="K127" s="1"/>
      <c r="L127" s="1"/>
      <c r="M127" s="1"/>
      <c r="N127" s="1"/>
      <c r="O127" s="1"/>
    </row>
    <row r="128" spans="1:20" x14ac:dyDescent="0.25">
      <c r="A128" s="45" t="s">
        <v>178</v>
      </c>
      <c r="C128" s="1"/>
      <c r="D128" s="1"/>
      <c r="E128" s="1"/>
      <c r="F128" s="1"/>
      <c r="G128" s="1"/>
      <c r="H128" s="1"/>
      <c r="I128" s="1"/>
      <c r="J128" s="1"/>
      <c r="K128" s="1"/>
      <c r="L128" s="1"/>
      <c r="M128" s="1"/>
      <c r="N128" s="1"/>
      <c r="O128" s="1"/>
    </row>
    <row r="129" spans="1:15" x14ac:dyDescent="0.25">
      <c r="A129" s="43"/>
      <c r="C129" s="1"/>
      <c r="D129" s="1"/>
      <c r="E129" s="1"/>
      <c r="F129" s="1"/>
      <c r="G129" s="1"/>
      <c r="H129" s="1"/>
      <c r="I129" s="1"/>
      <c r="J129" s="1"/>
      <c r="K129" s="1"/>
      <c r="L129" s="1"/>
      <c r="M129" s="1"/>
      <c r="N129" s="1"/>
      <c r="O129" s="1"/>
    </row>
    <row r="130" spans="1:15" x14ac:dyDescent="0.25">
      <c r="A130" s="46" t="s">
        <v>171</v>
      </c>
      <c r="C130" s="1"/>
      <c r="D130" s="1"/>
      <c r="E130" s="1"/>
      <c r="F130" s="1"/>
      <c r="G130" s="17"/>
      <c r="H130" s="17"/>
      <c r="I130" s="17"/>
      <c r="J130" s="17"/>
      <c r="K130" s="17"/>
      <c r="L130" s="17"/>
      <c r="M130" s="17"/>
      <c r="N130" s="17"/>
      <c r="O130" s="17"/>
    </row>
    <row r="131" spans="1:15" x14ac:dyDescent="0.25">
      <c r="A131" s="46" t="s">
        <v>145</v>
      </c>
      <c r="C131" s="1"/>
      <c r="D131" s="1"/>
      <c r="E131" s="1"/>
      <c r="F131" s="1"/>
      <c r="G131" s="17"/>
      <c r="H131" s="17"/>
      <c r="I131" s="17"/>
      <c r="J131" s="17"/>
      <c r="K131" s="17"/>
      <c r="L131" s="17"/>
      <c r="M131" s="17"/>
      <c r="N131" s="17"/>
      <c r="O131" s="17"/>
    </row>
    <row r="132" spans="1:15" x14ac:dyDescent="0.25">
      <c r="A132" s="46" t="s">
        <v>144</v>
      </c>
      <c r="C132" s="1"/>
      <c r="D132" s="1"/>
      <c r="E132" s="1"/>
      <c r="F132" s="1"/>
      <c r="G132" s="17"/>
      <c r="H132" s="17"/>
      <c r="I132" s="17"/>
      <c r="J132" s="17"/>
      <c r="K132" s="17"/>
      <c r="L132" s="17"/>
      <c r="M132" s="17"/>
      <c r="N132" s="17"/>
      <c r="O132" s="17"/>
    </row>
    <row r="133" spans="1:15" x14ac:dyDescent="0.25">
      <c r="A133" s="46" t="s">
        <v>146</v>
      </c>
      <c r="C133" s="1"/>
      <c r="D133" s="1"/>
      <c r="E133" s="1"/>
      <c r="F133" s="1"/>
      <c r="G133" s="17"/>
      <c r="H133" s="17"/>
      <c r="I133" s="17"/>
      <c r="J133" s="17"/>
      <c r="K133" s="17"/>
      <c r="L133" s="17"/>
      <c r="M133" s="17"/>
      <c r="N133" s="17"/>
      <c r="O133" s="17"/>
    </row>
    <row r="134" spans="1:15" x14ac:dyDescent="0.25">
      <c r="A134" s="31"/>
    </row>
    <row r="139" spans="1:15" x14ac:dyDescent="0.25">
      <c r="A139" s="5"/>
    </row>
  </sheetData>
  <mergeCells count="1">
    <mergeCell ref="A1:Q1"/>
  </mergeCells>
  <pageMargins left="0.25" right="0.25" top="0.75" bottom="0.75" header="0.3" footer="0.3"/>
  <pageSetup scale="5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54C4C04E5831ED41A6E817E776AE7753" ma:contentTypeVersion="2" ma:contentTypeDescription="Upload an image." ma:contentTypeScope="" ma:versionID="f4c885c8c66f34e628b6453c7746a714">
  <xsd:schema xmlns:xsd="http://www.w3.org/2001/XMLSchema" xmlns:xs="http://www.w3.org/2001/XMLSchema" xmlns:p="http://schemas.microsoft.com/office/2006/metadata/properties" xmlns:ns1="http://schemas.microsoft.com/sharepoint/v3" xmlns:ns2="7CD066FD-5E34-4539-A616-7B5767EB4A07" xmlns:ns3="http://schemas.microsoft.com/sharepoint/v3/fields" xmlns:ns4="f94b9277-b0a3-4d91-bade-04ea91219630" targetNamespace="http://schemas.microsoft.com/office/2006/metadata/properties" ma:root="true" ma:fieldsID="816f97e09562c88b138a0e9299809f42" ns1:_="" ns2:_="" ns3:_="" ns4:_="">
    <xsd:import namespace="http://schemas.microsoft.com/sharepoint/v3"/>
    <xsd:import namespace="7CD066FD-5E34-4539-A616-7B5767EB4A07"/>
    <xsd:import namespace="http://schemas.microsoft.com/sharepoint/v3/fields"/>
    <xsd:import namespace="f94b9277-b0a3-4d91-bade-04ea91219630"/>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CD066FD-5E34-4539-A616-7B5767EB4A07"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4b9277-b0a3-4d91-bade-04ea91219630"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geCreateDate xmlns="7CD066FD-5E34-4539-A616-7B5767EB4A07"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12FB4026-45F0-49E9-9C4F-D3601042158D}"/>
</file>

<file path=customXml/itemProps2.xml><?xml version="1.0" encoding="utf-8"?>
<ds:datastoreItem xmlns:ds="http://schemas.openxmlformats.org/officeDocument/2006/customXml" ds:itemID="{5C200497-DC32-4394-A0B0-7F4430AE4B73}"/>
</file>

<file path=customXml/itemProps3.xml><?xml version="1.0" encoding="utf-8"?>
<ds:datastoreItem xmlns:ds="http://schemas.openxmlformats.org/officeDocument/2006/customXml" ds:itemID="{D96D6822-8289-484A-A3B5-1D0AB06962C5}"/>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2009</vt:lpstr>
      <vt:lpstr>2010</vt:lpstr>
      <vt:lpstr>2011</vt:lpstr>
      <vt:lpstr>2012</vt:lpstr>
      <vt:lpstr>2013</vt:lpstr>
      <vt:lpstr>2014</vt:lpstr>
      <vt:lpstr>2015</vt:lpstr>
      <vt:lpstr>'2009'!Print_Area</vt:lpstr>
      <vt:lpstr>'2010'!Print_Area</vt:lpstr>
      <vt:lpstr>'2011'!Print_Area</vt:lpstr>
      <vt:lpstr>'2013'!Print_Area</vt:lpstr>
      <vt:lpstr>'2009'!Print_Titles</vt:lpstr>
      <vt:lpstr>'2010'!Print_Titles</vt:lpstr>
      <vt:lpstr>'2011'!Print_Titles</vt:lpstr>
      <vt:lpstr>'2013'!Print_Titles</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rev4701</dc:creator>
  <cp:keywords/>
  <dc:description/>
  <cp:lastModifiedBy>rev4427</cp:lastModifiedBy>
  <cp:lastPrinted>2017-03-28T19:36:24Z</cp:lastPrinted>
  <dcterms:created xsi:type="dcterms:W3CDTF">2011-03-09T14:18:44Z</dcterms:created>
  <dcterms:modified xsi:type="dcterms:W3CDTF">2017-03-28T19:37:31Z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0x0101009148F5A04DDD49CBA7127AADA5FB792B00AADE34325A8B49CDA8BB4DB53328F2140054C4C04E5831ED41A6E817E776AE7753</vt:lpwstr>
  </property>
</Properties>
</file>